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kl-file3.mil.intra\Desktop$\karin.muru\Desktop\"/>
    </mc:Choice>
  </mc:AlternateContent>
  <bookViews>
    <workbookView xWindow="0" yWindow="0" windowWidth="28800" windowHeight="12300" tabRatio="500" activeTab="4"/>
  </bookViews>
  <sheets>
    <sheet name="60 lam.M, N, P, T" sheetId="1" r:id="rId1"/>
    <sheet name="3x40 M, N" sheetId="3" r:id="rId2"/>
    <sheet name="30+30 TK, SP N, M" sheetId="7" r:id="rId3"/>
    <sheet name="Vabapüstol" sheetId="9" r:id="rId4"/>
    <sheet name="Metssiga 30+30; 20+20mix" sheetId="13" r:id="rId5"/>
    <sheet name="žürii" sheetId="12" r:id="rId6"/>
  </sheets>
  <definedNames>
    <definedName name="_xlnm.Print_Area" localSheetId="0">'60 lam.M, N, P, T'!$A$1:$N$52</definedName>
  </definedNames>
  <calcPr calcId="162913"/>
</workbook>
</file>

<file path=xl/calcChain.xml><?xml version="1.0" encoding="utf-8"?>
<calcChain xmlns="http://schemas.openxmlformats.org/spreadsheetml/2006/main">
  <c r="L8" i="9" l="1"/>
  <c r="L9" i="9"/>
  <c r="L11" i="9"/>
  <c r="L12" i="9"/>
  <c r="L14" i="9"/>
  <c r="M37" i="13"/>
  <c r="I37" i="13"/>
  <c r="N37" i="13" s="1"/>
  <c r="N36" i="13"/>
  <c r="M36" i="13"/>
  <c r="I36" i="13"/>
  <c r="M35" i="13"/>
  <c r="I35" i="13"/>
  <c r="N35" i="13" s="1"/>
  <c r="M34" i="13"/>
  <c r="I34" i="13"/>
  <c r="N34" i="13" s="1"/>
  <c r="M33" i="13"/>
  <c r="I33" i="13"/>
  <c r="N33" i="13" s="1"/>
  <c r="M32" i="13"/>
  <c r="I32" i="13"/>
  <c r="N32" i="13" s="1"/>
  <c r="N31" i="13"/>
  <c r="M31" i="13"/>
  <c r="I31" i="13"/>
  <c r="M30" i="13"/>
  <c r="I30" i="13"/>
  <c r="N30" i="13" s="1"/>
  <c r="M29" i="13"/>
  <c r="I29" i="13"/>
  <c r="N29" i="13" s="1"/>
  <c r="N28" i="13"/>
  <c r="M28" i="13"/>
  <c r="I28" i="13"/>
  <c r="M27" i="13"/>
  <c r="I27" i="13"/>
  <c r="N27" i="13" s="1"/>
  <c r="M26" i="13"/>
  <c r="I26" i="13"/>
  <c r="N26" i="13" s="1"/>
  <c r="M21" i="13"/>
  <c r="I21" i="13"/>
  <c r="N21" i="13" s="1"/>
  <c r="M20" i="13"/>
  <c r="I20" i="13"/>
  <c r="N20" i="13" s="1"/>
  <c r="M15" i="13"/>
  <c r="N15" i="13" s="1"/>
  <c r="I15" i="13"/>
  <c r="M14" i="13"/>
  <c r="I14" i="13"/>
  <c r="N14" i="13" s="1"/>
  <c r="M13" i="13"/>
  <c r="I13" i="13"/>
  <c r="N13" i="13" s="1"/>
  <c r="N12" i="13"/>
  <c r="M12" i="13"/>
  <c r="I12" i="13"/>
  <c r="M11" i="13"/>
  <c r="I11" i="13"/>
  <c r="N11" i="13" s="1"/>
  <c r="M10" i="13"/>
  <c r="I10" i="13"/>
  <c r="N10" i="13" s="1"/>
  <c r="M9" i="13"/>
  <c r="I9" i="13"/>
  <c r="N9" i="13" s="1"/>
  <c r="M8" i="13"/>
  <c r="I8" i="13"/>
  <c r="N8" i="13" s="1"/>
  <c r="M7" i="13"/>
  <c r="N7" i="13" s="1"/>
  <c r="I7" i="13"/>
  <c r="M6" i="13"/>
  <c r="I6" i="13"/>
  <c r="N6" i="13" s="1"/>
  <c r="F29" i="3" l="1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J32" i="3"/>
  <c r="O32" i="3"/>
  <c r="T32" i="3"/>
  <c r="U32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J12" i="3"/>
  <c r="O12" i="3"/>
  <c r="T12" i="3"/>
  <c r="U12" i="3"/>
  <c r="J14" i="3"/>
  <c r="O14" i="3"/>
  <c r="T14" i="3"/>
  <c r="U14" i="3"/>
  <c r="F15" i="3"/>
  <c r="G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J16" i="3"/>
  <c r="O16" i="3"/>
  <c r="T16" i="3"/>
  <c r="U16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F19" i="3"/>
  <c r="G19" i="3"/>
  <c r="H19" i="3"/>
  <c r="I19" i="3"/>
  <c r="J19" i="3"/>
  <c r="K19" i="3"/>
  <c r="L19" i="3"/>
  <c r="M19" i="3"/>
  <c r="N19" i="3"/>
  <c r="O19" i="3"/>
  <c r="T19" i="3"/>
  <c r="U19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T21" i="3"/>
  <c r="U21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N20" i="7"/>
  <c r="N23" i="7"/>
  <c r="N22" i="7"/>
  <c r="N21" i="7"/>
  <c r="J20" i="7"/>
  <c r="O20" i="7"/>
  <c r="J23" i="7"/>
  <c r="O23" i="7"/>
  <c r="J22" i="7"/>
  <c r="O22" i="7"/>
  <c r="J21" i="7"/>
  <c r="O21" i="7"/>
  <c r="N7" i="7"/>
  <c r="J7" i="7"/>
  <c r="O7" i="7"/>
  <c r="N10" i="7"/>
  <c r="J10" i="7"/>
  <c r="O10" i="7"/>
  <c r="N9" i="7"/>
  <c r="J9" i="7"/>
  <c r="O9" i="7"/>
  <c r="N12" i="7"/>
  <c r="J12" i="7"/>
  <c r="O12" i="7"/>
  <c r="N11" i="7"/>
  <c r="J11" i="7"/>
  <c r="O11" i="7"/>
  <c r="J8" i="7"/>
  <c r="N8" i="7"/>
  <c r="O8" i="7"/>
</calcChain>
</file>

<file path=xl/sharedStrings.xml><?xml version="1.0" encoding="utf-8"?>
<sst xmlns="http://schemas.openxmlformats.org/spreadsheetml/2006/main" count="623" uniqueCount="210">
  <si>
    <t>KL MäLK auhinnavõistlus</t>
  </si>
  <si>
    <t>60l Lamades Mehed</t>
  </si>
  <si>
    <t>Koht</t>
  </si>
  <si>
    <t>Eesnimi</t>
  </si>
  <si>
    <t>Perenimi</t>
  </si>
  <si>
    <t>S.a.</t>
  </si>
  <si>
    <t>Klubi</t>
  </si>
  <si>
    <t>Seeriad</t>
  </si>
  <si>
    <t>Σ</t>
  </si>
  <si>
    <t>I</t>
  </si>
  <si>
    <t>Edik</t>
  </si>
  <si>
    <t>KL MäLK</t>
  </si>
  <si>
    <t>II</t>
  </si>
  <si>
    <t>Toomas</t>
  </si>
  <si>
    <t>ARO</t>
  </si>
  <si>
    <t>SK EstaSport</t>
  </si>
  <si>
    <t>III</t>
  </si>
  <si>
    <t>Ain</t>
  </si>
  <si>
    <t>MURU</t>
  </si>
  <si>
    <t>4.</t>
  </si>
  <si>
    <t>Elva LSK</t>
  </si>
  <si>
    <t>5.</t>
  </si>
  <si>
    <t>6.</t>
  </si>
  <si>
    <t>Janis</t>
  </si>
  <si>
    <t>7.</t>
  </si>
  <si>
    <t>Jüri</t>
  </si>
  <si>
    <t>8.</t>
  </si>
  <si>
    <t>Elmet</t>
  </si>
  <si>
    <t>ORASSON</t>
  </si>
  <si>
    <t>9.</t>
  </si>
  <si>
    <t>10.</t>
  </si>
  <si>
    <t>11.</t>
  </si>
  <si>
    <t>12.</t>
  </si>
  <si>
    <t>Tõnu</t>
  </si>
  <si>
    <t>PÄRNAMÄE</t>
  </si>
  <si>
    <t>14.</t>
  </si>
  <si>
    <t>15.</t>
  </si>
  <si>
    <t>Ants</t>
  </si>
  <si>
    <t>PERTELSON</t>
  </si>
  <si>
    <t>Kaiu LK</t>
  </si>
  <si>
    <t>60l Lamades Naised</t>
  </si>
  <si>
    <t>Anžela</t>
  </si>
  <si>
    <t>Aljona</t>
  </si>
  <si>
    <t>SERGEJEVA</t>
  </si>
  <si>
    <t>Sise-</t>
  </si>
  <si>
    <t>10*</t>
  </si>
  <si>
    <t>KL</t>
  </si>
  <si>
    <t>KOVALJOVA</t>
  </si>
  <si>
    <t>Alina</t>
  </si>
  <si>
    <t>LEPP</t>
  </si>
  <si>
    <t>Heili</t>
  </si>
  <si>
    <t>Ilmuv märk</t>
  </si>
  <si>
    <t>Ringmärk</t>
  </si>
  <si>
    <t>30+30l Spordipüstol Naised</t>
  </si>
  <si>
    <t>KASE</t>
  </si>
  <si>
    <t>Vahur</t>
  </si>
  <si>
    <t>Endel</t>
  </si>
  <si>
    <t>SAAR</t>
  </si>
  <si>
    <t>MEESAK</t>
  </si>
  <si>
    <t>Aivo</t>
  </si>
  <si>
    <t>UHEK</t>
  </si>
  <si>
    <t>Margus</t>
  </si>
  <si>
    <t>ERK</t>
  </si>
  <si>
    <t>Raul</t>
  </si>
  <si>
    <t>30+30l T/ K püstol Mehed</t>
  </si>
  <si>
    <t>* Spordipüstol</t>
  </si>
  <si>
    <t>60l Vabapüstol Mehed</t>
  </si>
  <si>
    <t>Põlva LSK</t>
  </si>
  <si>
    <t>SILLAKIVI</t>
  </si>
  <si>
    <t>Erki</t>
  </si>
  <si>
    <t>Liivika</t>
  </si>
  <si>
    <t>TAMMELA</t>
  </si>
  <si>
    <t>Alar</t>
  </si>
  <si>
    <t>HEINSAAR</t>
  </si>
  <si>
    <t>SUSS</t>
  </si>
  <si>
    <t>Tarmo</t>
  </si>
  <si>
    <t>ELLER</t>
  </si>
  <si>
    <t>Väino</t>
  </si>
  <si>
    <t>HALLIK</t>
  </si>
  <si>
    <t>Kiire jooks</t>
  </si>
  <si>
    <t>Aeglane jooks</t>
  </si>
  <si>
    <t>30+30l Metssiga Mehed</t>
  </si>
  <si>
    <t>20+20l Metssiga Mehed</t>
  </si>
  <si>
    <t>25m tulejoonekohtunikud</t>
  </si>
  <si>
    <t>Peeter Olesk</t>
  </si>
  <si>
    <t>Kongsberg seadmed:</t>
  </si>
  <si>
    <t>Vabapüstol</t>
  </si>
  <si>
    <t>Karin Muru</t>
  </si>
  <si>
    <t>Sius Ascor seadmed:</t>
  </si>
  <si>
    <t>Jooksev metssiga: Toomas Hallik</t>
  </si>
  <si>
    <t>Alar Heinsaar</t>
  </si>
  <si>
    <t>Heili Lepp</t>
  </si>
  <si>
    <t>v.a.</t>
  </si>
  <si>
    <t>Maire</t>
  </si>
  <si>
    <t>Kristina</t>
  </si>
  <si>
    <t>Kiisk</t>
  </si>
  <si>
    <t>Järvamaa LK</t>
  </si>
  <si>
    <t>Karin</t>
  </si>
  <si>
    <t>Ragnar</t>
  </si>
  <si>
    <t>JUURIK</t>
  </si>
  <si>
    <t>Põlva LK</t>
  </si>
  <si>
    <t>KIISK</t>
  </si>
  <si>
    <t>LIIDLEIN</t>
  </si>
  <si>
    <t>T/K</t>
  </si>
  <si>
    <t>Andres</t>
  </si>
  <si>
    <t>Aarne</t>
  </si>
  <si>
    <t>Jari</t>
  </si>
  <si>
    <t>Raivo</t>
  </si>
  <si>
    <t>Meelis</t>
  </si>
  <si>
    <t>Elise</t>
  </si>
  <si>
    <t>31.07-02.08.2020 Männiku</t>
  </si>
  <si>
    <t>Jevgeni</t>
  </si>
  <si>
    <t>Märt</t>
  </si>
  <si>
    <t>Anna</t>
  </si>
  <si>
    <t>Dareas</t>
  </si>
  <si>
    <t>TŠESLAV</t>
  </si>
  <si>
    <t>Järvamaa LSK</t>
  </si>
  <si>
    <t>Vladislav</t>
  </si>
  <si>
    <t>LUŠIN</t>
  </si>
  <si>
    <t>Narva LSK</t>
  </si>
  <si>
    <t>HUNT</t>
  </si>
  <si>
    <t>Dmitri</t>
  </si>
  <si>
    <t>TŠAŠOVSKIH</t>
  </si>
  <si>
    <t>01.08.2020 Männiku</t>
  </si>
  <si>
    <t>Žürii esimees Aavo Pekri</t>
  </si>
  <si>
    <t>Jevgeni Mihhailov</t>
  </si>
  <si>
    <t>50m tulejoonekohtunikud Oliver Kuks</t>
  </si>
  <si>
    <t>Kaupo Kiis</t>
  </si>
  <si>
    <t>Joosep Robin</t>
  </si>
  <si>
    <t>ALBERT</t>
  </si>
  <si>
    <t>Manfred</t>
  </si>
  <si>
    <t>KUKK</t>
  </si>
  <si>
    <t>Ülenurme GSK</t>
  </si>
  <si>
    <t>Marek</t>
  </si>
  <si>
    <t>TAMM</t>
  </si>
  <si>
    <t>Karel</t>
  </si>
  <si>
    <t>UDRAS</t>
  </si>
  <si>
    <t>Kahru</t>
  </si>
  <si>
    <t>MÄNNIK</t>
  </si>
  <si>
    <t>KOPPELMANN</t>
  </si>
  <si>
    <t>AARNE</t>
  </si>
  <si>
    <t>LAHDENVESI</t>
  </si>
  <si>
    <t>MARKKO</t>
  </si>
  <si>
    <t>ROOSILEHT</t>
  </si>
  <si>
    <t>KILVITS</t>
  </si>
  <si>
    <t>Tuuli</t>
  </si>
  <si>
    <t>KÜBARSEPP</t>
  </si>
  <si>
    <t>Anastassia</t>
  </si>
  <si>
    <t>OLEWICZ</t>
  </si>
  <si>
    <t>Valeria</t>
  </si>
  <si>
    <t>MATŠEL</t>
  </si>
  <si>
    <t>Susanna</t>
  </si>
  <si>
    <t>SULE</t>
  </si>
  <si>
    <t>Liivi</t>
  </si>
  <si>
    <t>ERM</t>
  </si>
  <si>
    <t>VORONOVA</t>
  </si>
  <si>
    <t>3x40l Standard Mehed</t>
  </si>
  <si>
    <t>Põlvelt</t>
  </si>
  <si>
    <t>Lamades</t>
  </si>
  <si>
    <t>Püsti</t>
  </si>
  <si>
    <t>3x40l Standard Naised</t>
  </si>
  <si>
    <t>Adele Karolina</t>
  </si>
  <si>
    <t>KÕRE</t>
  </si>
  <si>
    <t>Oliver</t>
  </si>
  <si>
    <t>KUKS</t>
  </si>
  <si>
    <t>Monika</t>
  </si>
  <si>
    <t>KIVISALU</t>
  </si>
  <si>
    <t>Karl Eirik</t>
  </si>
  <si>
    <t>KOHAVA</t>
  </si>
  <si>
    <t>Marten</t>
  </si>
  <si>
    <t>Aivo Roonurm</t>
  </si>
  <si>
    <t>Protokollid: Karin Muru, Oliver Kuks</t>
  </si>
  <si>
    <t>Aivar</t>
  </si>
  <si>
    <t>KUHI</t>
  </si>
  <si>
    <t>Kaisa-Mai</t>
  </si>
  <si>
    <t>KALLASTE</t>
  </si>
  <si>
    <t>Lembit</t>
  </si>
  <si>
    <t>MITT</t>
  </si>
  <si>
    <t>Steve</t>
  </si>
  <si>
    <t>KÜMNIK</t>
  </si>
  <si>
    <t>PoLK</t>
  </si>
  <si>
    <t>Kaitsejõud</t>
  </si>
  <si>
    <t>Kalju</t>
  </si>
  <si>
    <t>LEST</t>
  </si>
  <si>
    <t>JÄRV</t>
  </si>
  <si>
    <t>Katre</t>
  </si>
  <si>
    <t>KRÖÖNSTRÖM</t>
  </si>
  <si>
    <t>60l Lamades Tüdrukud</t>
  </si>
  <si>
    <t>60l Lamades Poisid</t>
  </si>
  <si>
    <t>Arles</t>
  </si>
  <si>
    <t>TAAL</t>
  </si>
  <si>
    <t>SK Haapsalu</t>
  </si>
  <si>
    <t>Priidik</t>
  </si>
  <si>
    <t>ÕUN</t>
  </si>
  <si>
    <t>Taavi</t>
  </si>
  <si>
    <t>Dominic</t>
  </si>
  <si>
    <t>BREIVEL</t>
  </si>
  <si>
    <t xml:space="preserve">SK Haapsalu </t>
  </si>
  <si>
    <t>30+30l Metssiga Naised</t>
  </si>
  <si>
    <t>M</t>
  </si>
  <si>
    <t>SM</t>
  </si>
  <si>
    <t>Hilari</t>
  </si>
  <si>
    <t>JUCHNEWITSCH</t>
  </si>
  <si>
    <t>Vello</t>
  </si>
  <si>
    <t>KARJA</t>
  </si>
  <si>
    <t>MIHHAILOV</t>
  </si>
  <si>
    <t>ORRO</t>
  </si>
  <si>
    <t>KULEŠOVA</t>
  </si>
  <si>
    <t>RAUDE</t>
  </si>
  <si>
    <t>JSL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</si>
</sst>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color indexed="0"/>
      <name val="Verdana"/>
      <charset val="1"/>
    </font>
    <font>
      <b/>
      <sz val="16"/>
      <name val="Times New Roman"/>
      <family val="1"/>
      <charset val="186"/>
    </font>
    <font>
      <b/>
      <sz val="12"/>
      <name val="Times New Roman"/>
      <family val="1"/>
      <charset val="186"/>
    </font>
    <font>
      <i/>
      <u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i/>
      <u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u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i/>
      <u/>
      <sz val="12"/>
      <name val="Times New Roman"/>
      <family val="1"/>
      <charset val="186"/>
    </font>
    <font>
      <sz val="10"/>
      <color indexed="0"/>
      <name val="Verdana"/>
      <family val="2"/>
      <charset val="186"/>
    </font>
    <font>
      <b/>
      <sz val="16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2"/>
      <name val="Times New Roman"/>
      <charset val="1"/>
    </font>
    <font>
      <sz val="12"/>
      <name val="Times New Roman"/>
      <charset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0"/>
      <name val="Verdana"/>
      <family val="2"/>
    </font>
    <font>
      <i/>
      <u/>
      <sz val="12"/>
      <name val="Times New Roman"/>
      <charset val="1"/>
    </font>
    <font>
      <b/>
      <sz val="10"/>
      <color indexed="0"/>
      <name val="Verdana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3" fillId="0" borderId="0"/>
    <xf numFmtId="0" fontId="22" fillId="0" borderId="0"/>
  </cellStyleXfs>
  <cellXfs count="112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1"/>
    <xf numFmtId="0" fontId="6" fillId="0" borderId="0" xfId="1" applyFont="1"/>
    <xf numFmtId="0" fontId="11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center"/>
    </xf>
    <xf numFmtId="0" fontId="15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4" fillId="0" borderId="0" xfId="1" applyFont="1" applyAlignment="1"/>
    <xf numFmtId="0" fontId="6" fillId="0" borderId="0" xfId="1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1" applyFont="1"/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0" applyFont="1"/>
    <xf numFmtId="0" fontId="4" fillId="0" borderId="0" xfId="0" applyFont="1"/>
    <xf numFmtId="0" fontId="6" fillId="0" borderId="0" xfId="1" applyFont="1" applyAlignment="1">
      <alignment horizontal="center"/>
    </xf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6" fillId="0" borderId="0" xfId="0" applyFont="1" applyAlignme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4" fillId="0" borderId="0" xfId="0" applyFont="1"/>
    <xf numFmtId="0" fontId="6" fillId="0" borderId="0" xfId="1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2" applyFont="1"/>
    <xf numFmtId="0" fontId="20" fillId="0" borderId="0" xfId="2" applyFont="1"/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/>
    <xf numFmtId="0" fontId="19" fillId="0" borderId="0" xfId="0" applyFont="1"/>
    <xf numFmtId="0" fontId="18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0" xfId="2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2" applyFont="1"/>
    <xf numFmtId="0" fontId="2" fillId="0" borderId="0" xfId="2" applyFont="1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5" fillId="0" borderId="0" xfId="2" applyFont="1"/>
    <xf numFmtId="0" fontId="10" fillId="0" borderId="0" xfId="2" applyFont="1" applyAlignment="1">
      <alignment horizontal="center"/>
    </xf>
    <xf numFmtId="0" fontId="10" fillId="0" borderId="0" xfId="2" applyFont="1"/>
    <xf numFmtId="0" fontId="4" fillId="0" borderId="0" xfId="2" applyFont="1" applyAlignment="1">
      <alignment horizontal="center"/>
    </xf>
    <xf numFmtId="0" fontId="13" fillId="0" borderId="0" xfId="1" applyAlignment="1">
      <alignment horizontal="center"/>
    </xf>
    <xf numFmtId="0" fontId="24" fillId="0" borderId="0" xfId="1" applyFont="1" applyAlignment="1">
      <alignment horizontal="center"/>
    </xf>
    <xf numFmtId="0" fontId="0" fillId="0" borderId="0" xfId="0" applyAlignment="1">
      <alignment horizontal="center"/>
    </xf>
    <xf numFmtId="164" fontId="21" fillId="0" borderId="0" xfId="0" applyNumberFormat="1" applyFont="1"/>
    <xf numFmtId="1" fontId="2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/>
    <xf numFmtId="0" fontId="19" fillId="0" borderId="0" xfId="0" applyFont="1"/>
    <xf numFmtId="0" fontId="14" fillId="0" borderId="0" xfId="1" applyFont="1" applyAlignment="1">
      <alignment horizontal="center"/>
    </xf>
    <xf numFmtId="0" fontId="6" fillId="0" borderId="0" xfId="1" applyFont="1"/>
    <xf numFmtId="0" fontId="12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"/>
  <sheetViews>
    <sheetView topLeftCell="A14" zoomScaleNormal="100" workbookViewId="0">
      <selection activeCell="Q49" sqref="Q49"/>
    </sheetView>
  </sheetViews>
  <sheetFormatPr defaultColWidth="8.875" defaultRowHeight="12.75" x14ac:dyDescent="0.2"/>
  <cols>
    <col min="1" max="1" width="3.875" customWidth="1"/>
    <col min="2" max="2" width="13.375" customWidth="1"/>
    <col min="3" max="3" width="14.375" customWidth="1"/>
    <col min="4" max="4" width="6.75" customWidth="1"/>
    <col min="5" max="5" width="13.125" customWidth="1"/>
    <col min="6" max="12" width="5.625" customWidth="1"/>
    <col min="13" max="13" width="3.375" style="89" bestFit="1" customWidth="1"/>
    <col min="14" max="14" width="3.375" bestFit="1" customWidth="1"/>
  </cols>
  <sheetData>
    <row r="1" spans="1:50" ht="20.25" x14ac:dyDescent="0.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50" ht="15.75" x14ac:dyDescent="0.25">
      <c r="A2" s="1"/>
      <c r="B2" s="1"/>
      <c r="C2" s="1"/>
      <c r="D2" s="1"/>
      <c r="E2" s="1"/>
      <c r="F2" s="1"/>
      <c r="G2" s="1"/>
      <c r="H2" s="1"/>
      <c r="I2" s="2" t="s">
        <v>110</v>
      </c>
      <c r="L2" s="1"/>
      <c r="M2" s="6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6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50" ht="15.75" x14ac:dyDescent="0.25">
      <c r="A4" s="1"/>
      <c r="B4" s="2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8" t="s">
        <v>44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50" ht="15.75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94" t="s">
        <v>7</v>
      </c>
      <c r="G5" s="95"/>
      <c r="H5" s="95"/>
      <c r="I5" s="95"/>
      <c r="J5" s="95"/>
      <c r="K5" s="95"/>
      <c r="L5" s="3" t="s">
        <v>8</v>
      </c>
      <c r="M5" s="8" t="s">
        <v>45</v>
      </c>
      <c r="N5" s="10" t="s">
        <v>46</v>
      </c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.75" x14ac:dyDescent="0.25">
      <c r="A6" s="5" t="s">
        <v>9</v>
      </c>
      <c r="B6" s="52" t="s">
        <v>108</v>
      </c>
      <c r="C6" s="52" t="s">
        <v>101</v>
      </c>
      <c r="D6" s="62">
        <v>1991</v>
      </c>
      <c r="E6" s="60" t="s">
        <v>116</v>
      </c>
      <c r="F6" s="6">
        <v>104.5</v>
      </c>
      <c r="G6" s="6">
        <v>104.9</v>
      </c>
      <c r="H6" s="6">
        <v>104.2</v>
      </c>
      <c r="I6" s="6">
        <v>103.7</v>
      </c>
      <c r="J6" s="6">
        <v>103.3</v>
      </c>
      <c r="K6" s="6">
        <v>103.8</v>
      </c>
      <c r="L6" s="7">
        <v>624.4</v>
      </c>
      <c r="M6" s="8"/>
      <c r="N6" s="62" t="s">
        <v>200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5.75" x14ac:dyDescent="0.25">
      <c r="A7" s="5" t="s">
        <v>12</v>
      </c>
      <c r="B7" s="67" t="s">
        <v>17</v>
      </c>
      <c r="C7" s="67" t="s">
        <v>18</v>
      </c>
      <c r="D7" s="69">
        <v>1956</v>
      </c>
      <c r="E7" s="66" t="s">
        <v>11</v>
      </c>
      <c r="F7" s="70">
        <v>102.4</v>
      </c>
      <c r="G7" s="70">
        <v>103.1</v>
      </c>
      <c r="H7" s="70">
        <v>102.9</v>
      </c>
      <c r="I7" s="70">
        <v>102.8</v>
      </c>
      <c r="J7" s="70">
        <v>101.1</v>
      </c>
      <c r="K7" s="70">
        <v>100.7</v>
      </c>
      <c r="L7" s="71">
        <v>613</v>
      </c>
      <c r="M7" s="8"/>
      <c r="N7" s="62" t="s">
        <v>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5.75" x14ac:dyDescent="0.25">
      <c r="A8" s="5" t="s">
        <v>16</v>
      </c>
      <c r="B8" s="52" t="s">
        <v>117</v>
      </c>
      <c r="C8" s="52" t="s">
        <v>118</v>
      </c>
      <c r="D8" s="30">
        <v>1992</v>
      </c>
      <c r="E8" s="29" t="s">
        <v>119</v>
      </c>
      <c r="F8" s="6">
        <v>102</v>
      </c>
      <c r="G8" s="6">
        <v>103</v>
      </c>
      <c r="H8" s="6">
        <v>100.4</v>
      </c>
      <c r="I8" s="6">
        <v>100.5</v>
      </c>
      <c r="J8" s="6">
        <v>101.4</v>
      </c>
      <c r="K8" s="6">
        <v>100</v>
      </c>
      <c r="L8" s="7">
        <v>607.29999999999995</v>
      </c>
      <c r="M8" s="8"/>
      <c r="N8" s="62" t="s">
        <v>12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5.75" x14ac:dyDescent="0.25">
      <c r="A9" s="47">
        <v>4</v>
      </c>
      <c r="B9" s="53" t="s">
        <v>172</v>
      </c>
      <c r="C9" s="53" t="s">
        <v>173</v>
      </c>
      <c r="D9" s="69">
        <v>1957</v>
      </c>
      <c r="E9" s="66" t="s">
        <v>67</v>
      </c>
      <c r="F9" s="70">
        <v>100.1</v>
      </c>
      <c r="G9" s="70">
        <v>99.4</v>
      </c>
      <c r="H9" s="70">
        <v>101.9</v>
      </c>
      <c r="I9" s="70">
        <v>102.7</v>
      </c>
      <c r="J9" s="70">
        <v>101.5</v>
      </c>
      <c r="K9" s="70">
        <v>101.4</v>
      </c>
      <c r="L9" s="71">
        <v>607</v>
      </c>
      <c r="M9" s="8"/>
      <c r="N9" s="62" t="s">
        <v>12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5.75" x14ac:dyDescent="0.25">
      <c r="A10" s="47">
        <v>5</v>
      </c>
      <c r="B10" s="53" t="s">
        <v>104</v>
      </c>
      <c r="C10" s="53" t="s">
        <v>120</v>
      </c>
      <c r="D10" s="62">
        <v>1966</v>
      </c>
      <c r="E10" s="60" t="s">
        <v>67</v>
      </c>
      <c r="F10" s="6">
        <v>102.2</v>
      </c>
      <c r="G10" s="6">
        <v>100.9</v>
      </c>
      <c r="H10" s="6">
        <v>102.7</v>
      </c>
      <c r="I10" s="6">
        <v>101</v>
      </c>
      <c r="J10" s="6">
        <v>100.1</v>
      </c>
      <c r="K10" s="6">
        <v>100</v>
      </c>
      <c r="L10" s="7">
        <v>606.9</v>
      </c>
      <c r="M10" s="7"/>
      <c r="N10" s="62" t="s">
        <v>12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5.75" x14ac:dyDescent="0.25">
      <c r="A11" s="47">
        <v>6</v>
      </c>
      <c r="B11" s="53" t="s">
        <v>10</v>
      </c>
      <c r="C11" s="53" t="s">
        <v>139</v>
      </c>
      <c r="D11" s="72">
        <v>1984</v>
      </c>
      <c r="E11" s="53" t="s">
        <v>11</v>
      </c>
      <c r="F11" s="74">
        <v>99.2</v>
      </c>
      <c r="G11" s="74">
        <v>98.3</v>
      </c>
      <c r="H11" s="74">
        <v>102.4</v>
      </c>
      <c r="I11" s="74">
        <v>102</v>
      </c>
      <c r="J11" s="74">
        <v>102.6</v>
      </c>
      <c r="K11" s="74">
        <v>101.3</v>
      </c>
      <c r="L11" s="75">
        <v>605.79999999999995</v>
      </c>
      <c r="M11" s="75"/>
      <c r="N11" s="62" t="s">
        <v>12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.75" x14ac:dyDescent="0.25">
      <c r="A12" s="47">
        <v>7</v>
      </c>
      <c r="B12" s="66" t="s">
        <v>176</v>
      </c>
      <c r="C12" s="66" t="s">
        <v>177</v>
      </c>
      <c r="D12" s="69">
        <v>1972</v>
      </c>
      <c r="E12" s="66" t="s">
        <v>11</v>
      </c>
      <c r="F12" s="70">
        <v>103</v>
      </c>
      <c r="G12" s="70">
        <v>101.3</v>
      </c>
      <c r="H12" s="70">
        <v>100.5</v>
      </c>
      <c r="I12" s="70">
        <v>101.2</v>
      </c>
      <c r="J12" s="70">
        <v>99.8</v>
      </c>
      <c r="K12" s="70">
        <v>99.1</v>
      </c>
      <c r="L12" s="71">
        <v>604.9</v>
      </c>
      <c r="M12" s="8">
        <v>25</v>
      </c>
      <c r="N12" s="62" t="s">
        <v>12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75" x14ac:dyDescent="0.25">
      <c r="A13" s="47">
        <v>8</v>
      </c>
      <c r="B13" s="90" t="s">
        <v>25</v>
      </c>
      <c r="C13" s="90" t="s">
        <v>208</v>
      </c>
      <c r="D13" s="91">
        <v>1974</v>
      </c>
      <c r="E13" s="90" t="s">
        <v>11</v>
      </c>
      <c r="F13" s="74">
        <v>100</v>
      </c>
      <c r="G13" s="74">
        <v>99.6</v>
      </c>
      <c r="H13" s="74">
        <v>102.1</v>
      </c>
      <c r="I13" s="74">
        <v>101.6</v>
      </c>
      <c r="J13" s="74">
        <v>99.2</v>
      </c>
      <c r="K13" s="74">
        <v>102.4</v>
      </c>
      <c r="L13" s="75">
        <v>604.9</v>
      </c>
      <c r="M13" s="8">
        <v>21</v>
      </c>
      <c r="N13" s="62" t="s">
        <v>12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5.75" x14ac:dyDescent="0.25">
      <c r="A14" s="47">
        <v>9</v>
      </c>
      <c r="B14" s="53" t="s">
        <v>23</v>
      </c>
      <c r="C14" s="53" t="s">
        <v>140</v>
      </c>
      <c r="D14" s="72">
        <v>1968</v>
      </c>
      <c r="E14" s="53" t="s">
        <v>11</v>
      </c>
      <c r="F14" s="74">
        <v>101.9</v>
      </c>
      <c r="G14" s="74">
        <v>98.7</v>
      </c>
      <c r="H14" s="74">
        <v>99.2</v>
      </c>
      <c r="I14" s="74">
        <v>100.6</v>
      </c>
      <c r="J14" s="74">
        <v>99.1</v>
      </c>
      <c r="K14" s="74">
        <v>100.7</v>
      </c>
      <c r="L14" s="75">
        <v>600.20000000000005</v>
      </c>
      <c r="M14" s="75"/>
      <c r="N14" s="62" t="s">
        <v>12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75" x14ac:dyDescent="0.25">
      <c r="A15" s="47">
        <v>10</v>
      </c>
      <c r="B15" s="66" t="s">
        <v>107</v>
      </c>
      <c r="C15" s="66" t="s">
        <v>143</v>
      </c>
      <c r="D15" s="69">
        <v>1966</v>
      </c>
      <c r="E15" s="66" t="s">
        <v>11</v>
      </c>
      <c r="F15" s="70">
        <v>99.8</v>
      </c>
      <c r="G15" s="70">
        <v>90.9</v>
      </c>
      <c r="H15" s="70">
        <v>96.2</v>
      </c>
      <c r="I15" s="70">
        <v>103</v>
      </c>
      <c r="J15" s="70">
        <v>102.4</v>
      </c>
      <c r="K15" s="70">
        <v>98.5</v>
      </c>
      <c r="L15" s="71">
        <v>590.79999999999995</v>
      </c>
      <c r="M15" s="71"/>
      <c r="N15" s="62" t="s">
        <v>16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5.75" x14ac:dyDescent="0.25">
      <c r="A16" s="47">
        <v>11</v>
      </c>
      <c r="B16" s="53" t="s">
        <v>105</v>
      </c>
      <c r="C16" s="53" t="s">
        <v>142</v>
      </c>
      <c r="D16" s="72">
        <v>1960</v>
      </c>
      <c r="E16" s="66" t="s">
        <v>11</v>
      </c>
      <c r="F16" s="74">
        <v>98</v>
      </c>
      <c r="G16" s="74">
        <v>101.1</v>
      </c>
      <c r="H16" s="74">
        <v>98.1</v>
      </c>
      <c r="I16" s="74">
        <v>97.4</v>
      </c>
      <c r="J16" s="74">
        <v>97.3</v>
      </c>
      <c r="K16" s="74">
        <v>98.6</v>
      </c>
      <c r="L16" s="75">
        <v>590.5</v>
      </c>
      <c r="M16" s="75"/>
      <c r="N16" s="62" t="s">
        <v>16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65" customFormat="1" ht="15.75" x14ac:dyDescent="0.25">
      <c r="A17" s="47">
        <v>12</v>
      </c>
      <c r="B17" s="66" t="s">
        <v>163</v>
      </c>
      <c r="C17" s="66" t="s">
        <v>164</v>
      </c>
      <c r="D17" s="69">
        <v>1990</v>
      </c>
      <c r="E17" s="66" t="s">
        <v>11</v>
      </c>
      <c r="F17" s="70">
        <v>100.9</v>
      </c>
      <c r="G17" s="70">
        <v>98.1</v>
      </c>
      <c r="H17" s="70">
        <v>99.9</v>
      </c>
      <c r="I17" s="70">
        <v>97</v>
      </c>
      <c r="J17" s="70">
        <v>97.1</v>
      </c>
      <c r="K17" s="70">
        <v>95.7</v>
      </c>
      <c r="L17" s="71">
        <v>588.70000000000005</v>
      </c>
      <c r="M17" s="71"/>
      <c r="N17" s="62" t="s">
        <v>16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</row>
    <row r="18" spans="1:50" s="65" customFormat="1" ht="15.75" x14ac:dyDescent="0.25">
      <c r="A18" s="47">
        <v>13</v>
      </c>
      <c r="B18" s="90" t="s">
        <v>27</v>
      </c>
      <c r="C18" s="90" t="s">
        <v>28</v>
      </c>
      <c r="D18" s="91">
        <v>1974</v>
      </c>
      <c r="E18" s="90" t="s">
        <v>11</v>
      </c>
      <c r="F18" s="74">
        <v>99</v>
      </c>
      <c r="G18" s="74">
        <v>97.5</v>
      </c>
      <c r="H18" s="74">
        <v>97.3</v>
      </c>
      <c r="I18" s="74">
        <v>101.7</v>
      </c>
      <c r="J18" s="74">
        <v>97.7</v>
      </c>
      <c r="K18" s="74">
        <v>95</v>
      </c>
      <c r="L18" s="75">
        <v>588.20000000000005</v>
      </c>
      <c r="M18" s="75"/>
      <c r="N18" s="62" t="s">
        <v>16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</row>
    <row r="19" spans="1:50" s="65" customFormat="1" ht="15.75" x14ac:dyDescent="0.25">
      <c r="A19" s="47">
        <v>14</v>
      </c>
      <c r="B19" s="53" t="s">
        <v>56</v>
      </c>
      <c r="C19" s="53" t="s">
        <v>184</v>
      </c>
      <c r="D19" s="72">
        <v>1949</v>
      </c>
      <c r="E19" s="53" t="s">
        <v>11</v>
      </c>
      <c r="F19" s="74">
        <v>97.9</v>
      </c>
      <c r="G19" s="74">
        <v>97.1</v>
      </c>
      <c r="H19" s="74">
        <v>95.8</v>
      </c>
      <c r="I19" s="74">
        <v>98.4</v>
      </c>
      <c r="J19" s="74">
        <v>98.7</v>
      </c>
      <c r="K19" s="74">
        <v>99.1</v>
      </c>
      <c r="L19" s="75">
        <v>587</v>
      </c>
      <c r="M19" s="75"/>
      <c r="N19" s="62" t="s">
        <v>16</v>
      </c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</row>
    <row r="20" spans="1:50" s="65" customFormat="1" ht="15.75" x14ac:dyDescent="0.25">
      <c r="A20" s="63">
        <v>15</v>
      </c>
      <c r="B20" s="60" t="s">
        <v>13</v>
      </c>
      <c r="C20" s="60" t="s">
        <v>14</v>
      </c>
      <c r="D20" s="62">
        <v>1951</v>
      </c>
      <c r="E20" s="60" t="s">
        <v>15</v>
      </c>
      <c r="F20" s="6">
        <v>101.8</v>
      </c>
      <c r="G20" s="6">
        <v>96.9</v>
      </c>
      <c r="H20" s="6">
        <v>96.3</v>
      </c>
      <c r="I20" s="6">
        <v>94.4</v>
      </c>
      <c r="J20" s="6">
        <v>97.6</v>
      </c>
      <c r="K20" s="6">
        <v>97</v>
      </c>
      <c r="L20" s="7">
        <v>584</v>
      </c>
      <c r="M20" s="7"/>
      <c r="N20" s="62" t="s">
        <v>16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</row>
    <row r="21" spans="1:50" s="65" customFormat="1" ht="15.75" x14ac:dyDescent="0.25">
      <c r="A21" s="63">
        <v>16</v>
      </c>
      <c r="B21" s="66" t="s">
        <v>25</v>
      </c>
      <c r="C21" s="66" t="s">
        <v>144</v>
      </c>
      <c r="D21" s="69">
        <v>1939</v>
      </c>
      <c r="E21" s="66" t="s">
        <v>11</v>
      </c>
      <c r="F21" s="70">
        <v>90.6</v>
      </c>
      <c r="G21" s="70">
        <v>99.2</v>
      </c>
      <c r="H21" s="70">
        <v>94.6</v>
      </c>
      <c r="I21" s="70">
        <v>96.9</v>
      </c>
      <c r="J21" s="70">
        <v>97</v>
      </c>
      <c r="K21" s="70">
        <v>99.3</v>
      </c>
      <c r="L21" s="71">
        <v>577.6</v>
      </c>
      <c r="M21" s="71"/>
      <c r="N21" s="62" t="s">
        <v>16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</row>
    <row r="22" spans="1:50" s="65" customFormat="1" ht="15.75" x14ac:dyDescent="0.25">
      <c r="A22" s="63">
        <v>17</v>
      </c>
      <c r="B22" s="53" t="s">
        <v>178</v>
      </c>
      <c r="C22" s="53" t="s">
        <v>179</v>
      </c>
      <c r="D22" s="72">
        <v>1971</v>
      </c>
      <c r="E22" s="53" t="s">
        <v>180</v>
      </c>
      <c r="F22" s="74">
        <v>92.7</v>
      </c>
      <c r="G22" s="74">
        <v>96.8</v>
      </c>
      <c r="H22" s="74">
        <v>101.7</v>
      </c>
      <c r="I22" s="74">
        <v>98</v>
      </c>
      <c r="J22" s="74">
        <v>99.4</v>
      </c>
      <c r="K22" s="74">
        <v>85.4</v>
      </c>
      <c r="L22" s="75">
        <v>574</v>
      </c>
      <c r="M22" s="75"/>
      <c r="N22" s="62" t="s">
        <v>16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</row>
    <row r="23" spans="1:50" s="65" customFormat="1" ht="15.75" x14ac:dyDescent="0.25">
      <c r="A23" s="63">
        <v>18</v>
      </c>
      <c r="B23" s="60" t="s">
        <v>37</v>
      </c>
      <c r="C23" s="60" t="s">
        <v>38</v>
      </c>
      <c r="D23" s="62">
        <v>1942</v>
      </c>
      <c r="E23" s="60" t="s">
        <v>11</v>
      </c>
      <c r="F23" s="6">
        <v>95.4</v>
      </c>
      <c r="G23" s="6">
        <v>93.6</v>
      </c>
      <c r="H23" s="6">
        <v>96.4</v>
      </c>
      <c r="I23" s="6">
        <v>97.1</v>
      </c>
      <c r="J23" s="6">
        <v>96.1</v>
      </c>
      <c r="K23" s="6">
        <v>93.7</v>
      </c>
      <c r="L23" s="7">
        <v>572.29999999999995</v>
      </c>
      <c r="M23" s="7"/>
      <c r="N23" s="62" t="s">
        <v>16</v>
      </c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</row>
    <row r="24" spans="1:50" s="65" customFormat="1" ht="15.75" x14ac:dyDescent="0.25">
      <c r="A24" s="63">
        <v>19</v>
      </c>
      <c r="B24" s="60" t="s">
        <v>33</v>
      </c>
      <c r="C24" s="60" t="s">
        <v>34</v>
      </c>
      <c r="D24" s="62">
        <v>1947</v>
      </c>
      <c r="E24" s="60" t="s">
        <v>11</v>
      </c>
      <c r="F24" s="6">
        <v>98.4</v>
      </c>
      <c r="G24" s="6">
        <v>91.1</v>
      </c>
      <c r="H24" s="6">
        <v>97.3</v>
      </c>
      <c r="I24" s="6">
        <v>94.4</v>
      </c>
      <c r="J24" s="6">
        <v>91.5</v>
      </c>
      <c r="K24" s="6">
        <v>91.9</v>
      </c>
      <c r="L24" s="7">
        <v>564.6</v>
      </c>
      <c r="M24" s="7"/>
      <c r="N24" s="62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</row>
    <row r="25" spans="1:50" s="65" customFormat="1" ht="15.75" x14ac:dyDescent="0.25">
      <c r="A25" s="63">
        <v>20</v>
      </c>
      <c r="B25" s="60" t="s">
        <v>114</v>
      </c>
      <c r="C25" s="60" t="s">
        <v>115</v>
      </c>
      <c r="D25" s="62">
        <v>1979</v>
      </c>
      <c r="E25" s="60" t="s">
        <v>11</v>
      </c>
      <c r="F25" s="6">
        <v>85.7</v>
      </c>
      <c r="G25" s="6">
        <v>89.8</v>
      </c>
      <c r="H25" s="6">
        <v>91</v>
      </c>
      <c r="I25" s="6">
        <v>86.3</v>
      </c>
      <c r="J25" s="6">
        <v>88.1</v>
      </c>
      <c r="K25" s="6">
        <v>81.900000000000006</v>
      </c>
      <c r="L25" s="7">
        <v>522.79999999999995</v>
      </c>
      <c r="M25" s="7"/>
      <c r="N25" s="62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</row>
    <row r="26" spans="1:50" s="65" customFormat="1" ht="15.75" x14ac:dyDescent="0.25">
      <c r="A26" s="63">
        <v>21</v>
      </c>
      <c r="B26" s="53" t="s">
        <v>182</v>
      </c>
      <c r="C26" s="53" t="s">
        <v>183</v>
      </c>
      <c r="D26" s="72">
        <v>1936</v>
      </c>
      <c r="E26" s="53" t="s">
        <v>11</v>
      </c>
      <c r="F26" s="74">
        <v>53.6</v>
      </c>
      <c r="G26" s="74">
        <v>51</v>
      </c>
      <c r="H26" s="74">
        <v>62.3</v>
      </c>
      <c r="I26" s="74">
        <v>70.400000000000006</v>
      </c>
      <c r="J26" s="74">
        <v>66.5</v>
      </c>
      <c r="K26" s="74">
        <v>75.400000000000006</v>
      </c>
      <c r="L26" s="75">
        <v>379.2</v>
      </c>
      <c r="M26" s="75"/>
      <c r="N26" s="62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</row>
    <row r="27" spans="1:50" s="65" customFormat="1" ht="15.75" x14ac:dyDescent="0.25">
      <c r="A27" s="63"/>
      <c r="B27" s="53"/>
      <c r="C27" s="53"/>
      <c r="D27" s="72"/>
      <c r="E27" s="53"/>
      <c r="F27" s="74"/>
      <c r="G27" s="74"/>
      <c r="H27" s="74"/>
      <c r="I27" s="74"/>
      <c r="J27" s="74"/>
      <c r="K27" s="74"/>
      <c r="L27" s="75"/>
      <c r="M27" s="62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</row>
    <row r="28" spans="1:50" s="65" customFormat="1" ht="15.75" x14ac:dyDescent="0.25">
      <c r="A28" s="60"/>
      <c r="B28" s="2" t="s">
        <v>188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2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</row>
    <row r="29" spans="1:50" s="65" customFormat="1" ht="15.75" x14ac:dyDescent="0.25">
      <c r="A29" s="61" t="s">
        <v>2</v>
      </c>
      <c r="B29" s="61" t="s">
        <v>3</v>
      </c>
      <c r="C29" s="61" t="s">
        <v>4</v>
      </c>
      <c r="D29" s="61" t="s">
        <v>5</v>
      </c>
      <c r="E29" s="61" t="s">
        <v>6</v>
      </c>
      <c r="F29" s="94" t="s">
        <v>7</v>
      </c>
      <c r="G29" s="95"/>
      <c r="H29" s="95"/>
      <c r="I29" s="95"/>
      <c r="J29" s="95"/>
      <c r="K29" s="95"/>
      <c r="L29" s="61" t="s">
        <v>8</v>
      </c>
      <c r="M29" s="10" t="s">
        <v>46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</row>
    <row r="30" spans="1:50" s="65" customFormat="1" ht="15.75" x14ac:dyDescent="0.25">
      <c r="A30" s="5" t="s">
        <v>9</v>
      </c>
      <c r="B30" s="52" t="s">
        <v>128</v>
      </c>
      <c r="C30" s="52" t="s">
        <v>129</v>
      </c>
      <c r="D30" s="72">
        <v>2002</v>
      </c>
      <c r="E30" s="53" t="s">
        <v>11</v>
      </c>
      <c r="F30" s="74">
        <v>99.5</v>
      </c>
      <c r="G30" s="74">
        <v>100.8</v>
      </c>
      <c r="H30" s="74">
        <v>100.8</v>
      </c>
      <c r="I30" s="74">
        <v>102.6</v>
      </c>
      <c r="J30" s="74">
        <v>102.6</v>
      </c>
      <c r="K30" s="74">
        <v>101</v>
      </c>
      <c r="L30" s="75">
        <v>607.29999999999995</v>
      </c>
      <c r="M30" s="62" t="s">
        <v>12</v>
      </c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</row>
    <row r="31" spans="1:50" s="65" customFormat="1" ht="15.75" x14ac:dyDescent="0.25">
      <c r="A31" s="5" t="s">
        <v>12</v>
      </c>
      <c r="B31" s="52" t="s">
        <v>130</v>
      </c>
      <c r="C31" s="52" t="s">
        <v>131</v>
      </c>
      <c r="D31" s="69">
        <v>2003</v>
      </c>
      <c r="E31" s="66" t="s">
        <v>132</v>
      </c>
      <c r="F31" s="70">
        <v>102.1</v>
      </c>
      <c r="G31" s="70">
        <v>100</v>
      </c>
      <c r="H31" s="70">
        <v>102.6</v>
      </c>
      <c r="I31" s="70">
        <v>98.5</v>
      </c>
      <c r="J31" s="70">
        <v>102.2</v>
      </c>
      <c r="K31" s="70">
        <v>100.7</v>
      </c>
      <c r="L31" s="71">
        <v>606.1</v>
      </c>
      <c r="M31" s="62" t="s">
        <v>12</v>
      </c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</row>
    <row r="32" spans="1:50" s="65" customFormat="1" ht="15.75" x14ac:dyDescent="0.25">
      <c r="A32" s="5" t="s">
        <v>16</v>
      </c>
      <c r="B32" s="52" t="s">
        <v>135</v>
      </c>
      <c r="C32" s="52" t="s">
        <v>136</v>
      </c>
      <c r="D32" s="69">
        <v>2003</v>
      </c>
      <c r="E32" s="66" t="s">
        <v>132</v>
      </c>
      <c r="F32" s="70">
        <v>99.5</v>
      </c>
      <c r="G32" s="70">
        <v>99.4</v>
      </c>
      <c r="H32" s="70">
        <v>97.3</v>
      </c>
      <c r="I32" s="70">
        <v>101.6</v>
      </c>
      <c r="J32" s="70">
        <v>99.2</v>
      </c>
      <c r="K32" s="70">
        <v>98.7</v>
      </c>
      <c r="L32" s="71">
        <v>595.70000000000005</v>
      </c>
      <c r="M32" s="62" t="s">
        <v>12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</row>
    <row r="33" spans="1:49" s="65" customFormat="1" ht="15.75" x14ac:dyDescent="0.25">
      <c r="A33" s="63">
        <v>4</v>
      </c>
      <c r="B33" s="66" t="s">
        <v>137</v>
      </c>
      <c r="C33" s="66" t="s">
        <v>138</v>
      </c>
      <c r="D33" s="69">
        <v>2002</v>
      </c>
      <c r="E33" s="66" t="s">
        <v>132</v>
      </c>
      <c r="F33" s="70">
        <v>98.1</v>
      </c>
      <c r="G33" s="70">
        <v>100.3</v>
      </c>
      <c r="H33" s="70">
        <v>99.5</v>
      </c>
      <c r="I33" s="70">
        <v>96.1</v>
      </c>
      <c r="J33" s="70">
        <v>98.5</v>
      </c>
      <c r="K33" s="70">
        <v>99.7</v>
      </c>
      <c r="L33" s="71">
        <v>592.20000000000005</v>
      </c>
      <c r="M33" s="62" t="s">
        <v>12</v>
      </c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</row>
    <row r="34" spans="1:49" s="65" customFormat="1" ht="15.75" x14ac:dyDescent="0.25">
      <c r="A34" s="63">
        <v>5</v>
      </c>
      <c r="B34" s="66" t="s">
        <v>167</v>
      </c>
      <c r="C34" s="66" t="s">
        <v>168</v>
      </c>
      <c r="D34" s="69">
        <v>2006</v>
      </c>
      <c r="E34" s="66" t="s">
        <v>132</v>
      </c>
      <c r="F34" s="70">
        <v>96.2</v>
      </c>
      <c r="G34" s="70">
        <v>93.6</v>
      </c>
      <c r="H34" s="70">
        <v>93</v>
      </c>
      <c r="I34" s="70">
        <v>96.2</v>
      </c>
      <c r="J34" s="70">
        <v>95.9</v>
      </c>
      <c r="K34" s="70">
        <v>94.7</v>
      </c>
      <c r="L34" s="71">
        <v>569.6</v>
      </c>
      <c r="M34" s="62" t="s">
        <v>16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</row>
    <row r="35" spans="1:49" s="65" customFormat="1" ht="15.75" x14ac:dyDescent="0.25">
      <c r="A35" s="63">
        <v>6</v>
      </c>
      <c r="B35" s="66" t="s">
        <v>169</v>
      </c>
      <c r="C35" s="66" t="s">
        <v>166</v>
      </c>
      <c r="D35" s="69">
        <v>2007</v>
      </c>
      <c r="E35" s="66" t="s">
        <v>132</v>
      </c>
      <c r="F35" s="70">
        <v>96.3</v>
      </c>
      <c r="G35" s="70">
        <v>96.5</v>
      </c>
      <c r="H35" s="70">
        <v>91.4</v>
      </c>
      <c r="I35" s="70">
        <v>94.1</v>
      </c>
      <c r="J35" s="70">
        <v>96.8</v>
      </c>
      <c r="K35" s="70">
        <v>91.6</v>
      </c>
      <c r="L35" s="71">
        <v>566.70000000000005</v>
      </c>
      <c r="M35" s="62" t="s">
        <v>16</v>
      </c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</row>
    <row r="36" spans="1:49" s="65" customFormat="1" ht="15.75" x14ac:dyDescent="0.25">
      <c r="A36" s="63">
        <v>7</v>
      </c>
      <c r="B36" s="60" t="s">
        <v>121</v>
      </c>
      <c r="C36" s="60" t="s">
        <v>122</v>
      </c>
      <c r="D36" s="62">
        <v>2006</v>
      </c>
      <c r="E36" s="60" t="s">
        <v>11</v>
      </c>
      <c r="F36" s="6">
        <v>94.7</v>
      </c>
      <c r="G36" s="6">
        <v>91.5</v>
      </c>
      <c r="H36" s="6">
        <v>96.1</v>
      </c>
      <c r="I36" s="6">
        <v>97.8</v>
      </c>
      <c r="J36" s="6">
        <v>88.5</v>
      </c>
      <c r="K36" s="6">
        <v>96.9</v>
      </c>
      <c r="L36" s="7">
        <v>565.5</v>
      </c>
      <c r="M36" s="62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</row>
    <row r="37" spans="1:49" s="65" customFormat="1" ht="15.75" x14ac:dyDescent="0.25">
      <c r="A37" s="63"/>
      <c r="B37" s="53"/>
      <c r="C37" s="53"/>
      <c r="D37" s="72"/>
      <c r="E37" s="53"/>
      <c r="F37" s="74"/>
      <c r="G37" s="74"/>
      <c r="H37" s="74"/>
      <c r="I37" s="74"/>
      <c r="J37" s="74"/>
      <c r="K37" s="74"/>
      <c r="L37" s="75"/>
      <c r="M37" s="62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</row>
    <row r="38" spans="1:49" ht="15.75" x14ac:dyDescent="0.25">
      <c r="A38" s="1"/>
      <c r="B38" s="2" t="s">
        <v>40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6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s="65" customFormat="1" ht="15.75" x14ac:dyDescent="0.25">
      <c r="A39" s="61" t="s">
        <v>2</v>
      </c>
      <c r="B39" s="61" t="s">
        <v>3</v>
      </c>
      <c r="C39" s="61" t="s">
        <v>4</v>
      </c>
      <c r="D39" s="61" t="s">
        <v>5</v>
      </c>
      <c r="E39" s="61" t="s">
        <v>6</v>
      </c>
      <c r="F39" s="94" t="s">
        <v>7</v>
      </c>
      <c r="G39" s="95"/>
      <c r="H39" s="95"/>
      <c r="I39" s="95"/>
      <c r="J39" s="95"/>
      <c r="K39" s="95"/>
      <c r="L39" s="61" t="s">
        <v>8</v>
      </c>
      <c r="M39" s="10" t="s">
        <v>46</v>
      </c>
      <c r="N39" s="62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</row>
    <row r="40" spans="1:49" ht="15.75" x14ac:dyDescent="0.25">
      <c r="A40" s="5" t="s">
        <v>9</v>
      </c>
      <c r="B40" s="52" t="s">
        <v>41</v>
      </c>
      <c r="C40" s="52" t="s">
        <v>155</v>
      </c>
      <c r="D40" s="72">
        <v>1968</v>
      </c>
      <c r="E40" s="66" t="s">
        <v>11</v>
      </c>
      <c r="F40" s="74">
        <v>99.9</v>
      </c>
      <c r="G40" s="74">
        <v>100.7</v>
      </c>
      <c r="H40" s="74">
        <v>105.2</v>
      </c>
      <c r="I40" s="74">
        <v>99</v>
      </c>
      <c r="J40" s="74">
        <v>101.3</v>
      </c>
      <c r="K40" s="74">
        <v>103.8</v>
      </c>
      <c r="L40" s="75">
        <v>609.9</v>
      </c>
      <c r="M40" s="62" t="s">
        <v>9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5.75" x14ac:dyDescent="0.25">
      <c r="A41" s="5" t="s">
        <v>12</v>
      </c>
      <c r="B41" s="67" t="s">
        <v>153</v>
      </c>
      <c r="C41" s="67" t="s">
        <v>154</v>
      </c>
      <c r="D41" s="69">
        <v>1953</v>
      </c>
      <c r="E41" s="66" t="s">
        <v>39</v>
      </c>
      <c r="F41" s="70">
        <v>101.5</v>
      </c>
      <c r="G41" s="70">
        <v>101.2</v>
      </c>
      <c r="H41" s="70">
        <v>102.3</v>
      </c>
      <c r="I41" s="70">
        <v>99</v>
      </c>
      <c r="J41" s="70">
        <v>100.3</v>
      </c>
      <c r="K41" s="70">
        <v>102.8</v>
      </c>
      <c r="L41" s="71">
        <v>607.1</v>
      </c>
      <c r="M41" s="62" t="s">
        <v>9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5.75" x14ac:dyDescent="0.25">
      <c r="A42" s="5" t="s">
        <v>16</v>
      </c>
      <c r="B42" s="52" t="s">
        <v>174</v>
      </c>
      <c r="C42" s="52" t="s">
        <v>175</v>
      </c>
      <c r="D42" s="69">
        <v>1998</v>
      </c>
      <c r="E42" s="66" t="s">
        <v>11</v>
      </c>
      <c r="F42" s="70">
        <v>100.4</v>
      </c>
      <c r="G42" s="70">
        <v>101</v>
      </c>
      <c r="H42" s="70">
        <v>99.2</v>
      </c>
      <c r="I42" s="70">
        <v>103.6</v>
      </c>
      <c r="J42" s="70">
        <v>102.7</v>
      </c>
      <c r="K42" s="70">
        <v>99.5</v>
      </c>
      <c r="L42" s="71">
        <v>606.4</v>
      </c>
      <c r="M42" s="62" t="s">
        <v>9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5.75" x14ac:dyDescent="0.25">
      <c r="A43" s="47">
        <v>4</v>
      </c>
      <c r="B43" s="53" t="s">
        <v>109</v>
      </c>
      <c r="C43" s="53" t="s">
        <v>57</v>
      </c>
      <c r="D43" s="62">
        <v>2000</v>
      </c>
      <c r="E43" s="60" t="s">
        <v>11</v>
      </c>
      <c r="F43" s="6">
        <v>100.5</v>
      </c>
      <c r="G43" s="6">
        <v>98.4</v>
      </c>
      <c r="H43" s="6">
        <v>99.1</v>
      </c>
      <c r="I43" s="6">
        <v>100.3</v>
      </c>
      <c r="J43" s="6">
        <v>100.6</v>
      </c>
      <c r="K43" s="6">
        <v>101.2</v>
      </c>
      <c r="L43" s="7">
        <v>600.1</v>
      </c>
      <c r="M43" s="62" t="s">
        <v>12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ht="15.75" x14ac:dyDescent="0.25">
      <c r="A44" s="62">
        <v>5</v>
      </c>
      <c r="B44" s="53" t="s">
        <v>185</v>
      </c>
      <c r="C44" s="53" t="s">
        <v>186</v>
      </c>
      <c r="D44" s="72">
        <v>1969</v>
      </c>
      <c r="E44" s="53" t="s">
        <v>11</v>
      </c>
      <c r="F44" s="74">
        <v>97.6</v>
      </c>
      <c r="G44" s="74">
        <v>100.3</v>
      </c>
      <c r="H44" s="74">
        <v>102.1</v>
      </c>
      <c r="I44" s="74">
        <v>101.3</v>
      </c>
      <c r="J44" s="74">
        <v>98.7</v>
      </c>
      <c r="K44" s="74">
        <v>97.6</v>
      </c>
      <c r="L44" s="75">
        <v>597.6</v>
      </c>
      <c r="M44" s="62" t="s">
        <v>12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5.75" x14ac:dyDescent="0.25">
      <c r="A45" s="62">
        <v>6</v>
      </c>
      <c r="B45" s="53" t="s">
        <v>94</v>
      </c>
      <c r="C45" s="53" t="s">
        <v>101</v>
      </c>
      <c r="D45" s="72">
        <v>1985</v>
      </c>
      <c r="E45" s="53" t="s">
        <v>116</v>
      </c>
      <c r="F45" s="74">
        <v>97.7</v>
      </c>
      <c r="G45" s="74">
        <v>98.4</v>
      </c>
      <c r="H45" s="74">
        <v>95</v>
      </c>
      <c r="I45" s="74">
        <v>96.6</v>
      </c>
      <c r="J45" s="74">
        <v>98</v>
      </c>
      <c r="K45" s="74">
        <v>97.3</v>
      </c>
      <c r="L45" s="75">
        <v>583</v>
      </c>
      <c r="M45" s="62" t="s">
        <v>16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5.75" x14ac:dyDescent="0.25">
      <c r="A46" s="62">
        <v>7</v>
      </c>
      <c r="B46" s="53" t="s">
        <v>165</v>
      </c>
      <c r="C46" s="53" t="s">
        <v>166</v>
      </c>
      <c r="D46" s="69">
        <v>1964</v>
      </c>
      <c r="E46" s="66" t="s">
        <v>132</v>
      </c>
      <c r="F46" s="70">
        <v>99.3</v>
      </c>
      <c r="G46" s="70">
        <v>93.1</v>
      </c>
      <c r="H46" s="70">
        <v>95.7</v>
      </c>
      <c r="I46" s="70">
        <v>96.5</v>
      </c>
      <c r="J46" s="70">
        <v>92.8</v>
      </c>
      <c r="K46" s="70">
        <v>96.7</v>
      </c>
      <c r="L46" s="71">
        <v>574.1</v>
      </c>
      <c r="M46" s="62" t="s">
        <v>16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5.75" x14ac:dyDescent="0.25">
      <c r="A47" s="62">
        <v>8</v>
      </c>
      <c r="B47" s="60" t="s">
        <v>42</v>
      </c>
      <c r="C47" s="60" t="s">
        <v>43</v>
      </c>
      <c r="D47" s="62">
        <v>1981</v>
      </c>
      <c r="E47" s="66" t="s">
        <v>11</v>
      </c>
      <c r="F47" s="6">
        <v>92.3</v>
      </c>
      <c r="G47" s="6">
        <v>95.8</v>
      </c>
      <c r="H47" s="6">
        <v>94.2</v>
      </c>
      <c r="I47" s="6">
        <v>96.9</v>
      </c>
      <c r="J47" s="6">
        <v>97.9</v>
      </c>
      <c r="K47" s="6">
        <v>95.1</v>
      </c>
      <c r="L47" s="7">
        <v>572.20000000000005</v>
      </c>
      <c r="M47" s="62" t="s">
        <v>16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5.75" x14ac:dyDescent="0.25">
      <c r="A48" s="1"/>
      <c r="M48" s="6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5.75" x14ac:dyDescent="0.25">
      <c r="A49" s="60"/>
      <c r="B49" s="2" t="s">
        <v>187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5.75" x14ac:dyDescent="0.25">
      <c r="A50" s="61" t="s">
        <v>2</v>
      </c>
      <c r="B50" s="61" t="s">
        <v>3</v>
      </c>
      <c r="C50" s="61" t="s">
        <v>4</v>
      </c>
      <c r="D50" s="61" t="s">
        <v>5</v>
      </c>
      <c r="E50" s="61" t="s">
        <v>6</v>
      </c>
      <c r="F50" s="94" t="s">
        <v>7</v>
      </c>
      <c r="G50" s="95"/>
      <c r="H50" s="95"/>
      <c r="I50" s="95"/>
      <c r="J50" s="95"/>
      <c r="K50" s="95"/>
      <c r="L50" s="61" t="s">
        <v>8</v>
      </c>
      <c r="M50" s="10" t="s">
        <v>46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5.75" x14ac:dyDescent="0.25">
      <c r="A51" s="5" t="s">
        <v>9</v>
      </c>
      <c r="B51" s="52" t="s">
        <v>151</v>
      </c>
      <c r="C51" s="52" t="s">
        <v>152</v>
      </c>
      <c r="D51" s="69">
        <v>2004</v>
      </c>
      <c r="E51" s="66" t="s">
        <v>39</v>
      </c>
      <c r="F51" s="70">
        <v>100.4</v>
      </c>
      <c r="G51" s="70">
        <v>97.7</v>
      </c>
      <c r="H51" s="70">
        <v>99.1</v>
      </c>
      <c r="I51" s="70">
        <v>100.7</v>
      </c>
      <c r="J51" s="70">
        <v>98</v>
      </c>
      <c r="K51" s="70">
        <v>100.1</v>
      </c>
      <c r="L51" s="71">
        <v>596</v>
      </c>
      <c r="M51" s="62" t="s">
        <v>12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5.75" x14ac:dyDescent="0.25">
      <c r="A52" s="5" t="s">
        <v>12</v>
      </c>
      <c r="B52" s="52" t="s">
        <v>161</v>
      </c>
      <c r="C52" s="52" t="s">
        <v>162</v>
      </c>
      <c r="D52" s="69">
        <v>2002</v>
      </c>
      <c r="E52" s="66" t="s">
        <v>132</v>
      </c>
      <c r="F52" s="70">
        <v>98.6</v>
      </c>
      <c r="G52" s="70">
        <v>99.5</v>
      </c>
      <c r="H52" s="70">
        <v>100.2</v>
      </c>
      <c r="I52" s="70">
        <v>98.6</v>
      </c>
      <c r="J52" s="70">
        <v>100.4</v>
      </c>
      <c r="K52" s="70">
        <v>98.3</v>
      </c>
      <c r="L52" s="71">
        <v>595.6</v>
      </c>
      <c r="M52" s="62" t="s">
        <v>12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5.75" x14ac:dyDescent="0.25">
      <c r="A53" s="1"/>
      <c r="M53" s="6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5.75" x14ac:dyDescent="0.25">
      <c r="A54" s="1"/>
      <c r="M54" s="6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5.75" x14ac:dyDescent="0.25">
      <c r="A55" s="1"/>
      <c r="M55" s="6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6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6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6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6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6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6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6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6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6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6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6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6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6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6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6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6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6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6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6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6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6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6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6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6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6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6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</sheetData>
  <sortState ref="B6:M26">
    <sortCondition descending="1" ref="L6:L26"/>
  </sortState>
  <mergeCells count="5">
    <mergeCell ref="A1:M1"/>
    <mergeCell ref="F5:K5"/>
    <mergeCell ref="F39:K39"/>
    <mergeCell ref="F50:K50"/>
    <mergeCell ref="F29:K29"/>
  </mergeCells>
  <pageMargins left="0.75" right="0.75" top="1" bottom="1" header="0.5" footer="0.5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6"/>
  <sheetViews>
    <sheetView topLeftCell="A10" workbookViewId="0">
      <selection activeCell="X9" sqref="X9"/>
    </sheetView>
  </sheetViews>
  <sheetFormatPr defaultColWidth="8.875" defaultRowHeight="12.75" x14ac:dyDescent="0.2"/>
  <cols>
    <col min="1" max="1" width="4.375" customWidth="1"/>
    <col min="2" max="2" width="14" customWidth="1"/>
    <col min="3" max="3" width="14.375" customWidth="1"/>
    <col min="4" max="4" width="4.625" customWidth="1"/>
    <col min="5" max="5" width="13.625" customWidth="1"/>
    <col min="6" max="8" width="3.5" customWidth="1"/>
    <col min="9" max="10" width="3.875" customWidth="1"/>
    <col min="11" max="12" width="3.5" customWidth="1"/>
    <col min="13" max="14" width="3.625" customWidth="1"/>
    <col min="15" max="15" width="3.875" customWidth="1"/>
    <col min="16" max="19" width="3.5" customWidth="1"/>
    <col min="20" max="20" width="3.875" customWidth="1"/>
    <col min="21" max="21" width="5" customWidth="1"/>
    <col min="22" max="23" width="2.625" customWidth="1"/>
    <col min="24" max="24" width="3.5" customWidth="1"/>
  </cols>
  <sheetData>
    <row r="1" spans="1:50" ht="20.25" x14ac:dyDescent="0.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110</v>
      </c>
      <c r="Q2" s="1"/>
      <c r="R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5.75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8"/>
      <c r="W4" s="11"/>
      <c r="X4" s="13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5.75" x14ac:dyDescent="0.25">
      <c r="A5" s="50"/>
      <c r="B5" s="48" t="s">
        <v>156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W5" s="11"/>
      <c r="X5" s="1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.75" x14ac:dyDescent="0.25">
      <c r="A6" s="64" t="s">
        <v>2</v>
      </c>
      <c r="B6" s="64" t="s">
        <v>3</v>
      </c>
      <c r="C6" s="64" t="s">
        <v>4</v>
      </c>
      <c r="D6" s="64" t="s">
        <v>5</v>
      </c>
      <c r="E6" s="64" t="s">
        <v>6</v>
      </c>
      <c r="F6" s="96" t="s">
        <v>157</v>
      </c>
      <c r="G6" s="97"/>
      <c r="H6" s="97"/>
      <c r="I6" s="97"/>
      <c r="J6" s="97"/>
      <c r="K6" s="96" t="s">
        <v>158</v>
      </c>
      <c r="L6" s="97"/>
      <c r="M6" s="97"/>
      <c r="N6" s="97"/>
      <c r="O6" s="97"/>
      <c r="P6" s="98" t="s">
        <v>159</v>
      </c>
      <c r="Q6" s="99"/>
      <c r="R6" s="99"/>
      <c r="S6" s="99"/>
      <c r="T6" s="99"/>
      <c r="U6" s="64" t="s">
        <v>8</v>
      </c>
      <c r="V6" s="10" t="s">
        <v>46</v>
      </c>
      <c r="W6" s="11"/>
      <c r="X6" s="1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5.75" x14ac:dyDescent="0.25">
      <c r="A7" s="39" t="s">
        <v>9</v>
      </c>
      <c r="B7" s="48" t="s">
        <v>108</v>
      </c>
      <c r="C7" s="48" t="s">
        <v>101</v>
      </c>
      <c r="D7" s="49">
        <v>1991</v>
      </c>
      <c r="E7" s="50" t="s">
        <v>116</v>
      </c>
      <c r="F7" s="49">
        <v>97</v>
      </c>
      <c r="G7" s="49">
        <v>99</v>
      </c>
      <c r="H7" s="49">
        <v>95</v>
      </c>
      <c r="I7" s="49">
        <v>95</v>
      </c>
      <c r="J7" s="51">
        <v>386</v>
      </c>
      <c r="K7" s="49">
        <v>96</v>
      </c>
      <c r="L7" s="49">
        <v>100</v>
      </c>
      <c r="M7" s="49">
        <v>97</v>
      </c>
      <c r="N7" s="49">
        <v>99</v>
      </c>
      <c r="O7" s="51">
        <v>392</v>
      </c>
      <c r="P7" s="49">
        <v>98</v>
      </c>
      <c r="Q7" s="49">
        <v>95</v>
      </c>
      <c r="R7" s="49">
        <v>98</v>
      </c>
      <c r="S7" s="49">
        <v>95</v>
      </c>
      <c r="T7" s="51">
        <v>386</v>
      </c>
      <c r="U7" s="51">
        <v>1164</v>
      </c>
      <c r="V7" s="17" t="s">
        <v>199</v>
      </c>
      <c r="W7" s="11"/>
      <c r="X7" s="1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5.75" x14ac:dyDescent="0.25">
      <c r="A8" s="39" t="s">
        <v>12</v>
      </c>
      <c r="B8" s="48" t="s">
        <v>117</v>
      </c>
      <c r="C8" s="48" t="s">
        <v>118</v>
      </c>
      <c r="D8" s="49">
        <v>1992</v>
      </c>
      <c r="E8" s="50" t="s">
        <v>119</v>
      </c>
      <c r="F8" s="49">
        <v>95</v>
      </c>
      <c r="G8" s="49">
        <v>97</v>
      </c>
      <c r="H8" s="49">
        <v>95</v>
      </c>
      <c r="I8" s="49">
        <v>93</v>
      </c>
      <c r="J8" s="51">
        <v>380</v>
      </c>
      <c r="K8" s="49">
        <v>96</v>
      </c>
      <c r="L8" s="49">
        <v>96</v>
      </c>
      <c r="M8" s="49">
        <v>99</v>
      </c>
      <c r="N8" s="49">
        <v>98</v>
      </c>
      <c r="O8" s="51">
        <v>389</v>
      </c>
      <c r="P8" s="49">
        <v>92</v>
      </c>
      <c r="Q8" s="49">
        <v>88</v>
      </c>
      <c r="R8" s="49">
        <v>94</v>
      </c>
      <c r="S8" s="49">
        <v>90</v>
      </c>
      <c r="T8" s="51">
        <v>364</v>
      </c>
      <c r="U8" s="51">
        <v>1133</v>
      </c>
      <c r="V8" s="8" t="s">
        <v>9</v>
      </c>
      <c r="W8" s="11"/>
      <c r="X8" s="13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5.75" x14ac:dyDescent="0.25">
      <c r="A9" s="39" t="s">
        <v>16</v>
      </c>
      <c r="B9" s="52" t="s">
        <v>104</v>
      </c>
      <c r="C9" s="52" t="s">
        <v>120</v>
      </c>
      <c r="D9" s="49">
        <v>1966</v>
      </c>
      <c r="E9" s="50" t="s">
        <v>100</v>
      </c>
      <c r="F9" s="49">
        <f>9+10+9+9+10+9+10+10+10+9</f>
        <v>95</v>
      </c>
      <c r="G9" s="49">
        <f>10+10+10+9+9+10+10+8+8+9</f>
        <v>93</v>
      </c>
      <c r="H9" s="49">
        <f>9+9+10+10+10+9+9+9+8+9</f>
        <v>92</v>
      </c>
      <c r="I9" s="49">
        <f>10+9+10+10+8+8+9+10+9+9</f>
        <v>92</v>
      </c>
      <c r="J9" s="51">
        <f>SUM(F9:I9)</f>
        <v>372</v>
      </c>
      <c r="K9" s="49">
        <f>9+10+10+9+10+9+10+9+10+9</f>
        <v>95</v>
      </c>
      <c r="L9" s="49">
        <f>10+10+9+9+9+10+9+9+10+10</f>
        <v>95</v>
      </c>
      <c r="M9" s="49">
        <f>9+10+10+9+9+10+9+9+10+8</f>
        <v>93</v>
      </c>
      <c r="N9" s="49">
        <f>9+9+10+10+9+10+9+10+10+10</f>
        <v>96</v>
      </c>
      <c r="O9" s="51">
        <f>SUM(K9:N9)</f>
        <v>379</v>
      </c>
      <c r="P9" s="49">
        <f>7+8+9+10+8+8+9+10+8+9</f>
        <v>86</v>
      </c>
      <c r="Q9" s="49">
        <f>9+7+8+10+8+10+9+9+9+9</f>
        <v>88</v>
      </c>
      <c r="R9" s="49">
        <f>10+10+9+10+9+10+9+9+9+10</f>
        <v>95</v>
      </c>
      <c r="S9" s="49">
        <f>9+9+7+9+9+10+7+8+8+9</f>
        <v>85</v>
      </c>
      <c r="T9" s="51">
        <f>SUM(P9:S9)</f>
        <v>354</v>
      </c>
      <c r="U9" s="51">
        <f>J9+O9+T9</f>
        <v>1105</v>
      </c>
      <c r="V9" s="17" t="s">
        <v>9</v>
      </c>
      <c r="W9" s="11"/>
      <c r="X9" s="13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5.75" x14ac:dyDescent="0.25">
      <c r="A10" s="36">
        <v>4</v>
      </c>
      <c r="B10" s="53" t="s">
        <v>128</v>
      </c>
      <c r="C10" s="53" t="s">
        <v>129</v>
      </c>
      <c r="D10" s="49">
        <v>2002</v>
      </c>
      <c r="E10" s="50" t="s">
        <v>11</v>
      </c>
      <c r="F10" s="49">
        <v>93</v>
      </c>
      <c r="G10" s="49">
        <v>93</v>
      </c>
      <c r="H10" s="49">
        <v>93</v>
      </c>
      <c r="I10" s="49">
        <v>92</v>
      </c>
      <c r="J10" s="51">
        <v>371</v>
      </c>
      <c r="K10" s="49">
        <v>92</v>
      </c>
      <c r="L10" s="49">
        <v>94</v>
      </c>
      <c r="M10" s="49">
        <v>95</v>
      </c>
      <c r="N10" s="49">
        <v>91</v>
      </c>
      <c r="O10" s="51">
        <v>372</v>
      </c>
      <c r="P10" s="49">
        <v>90</v>
      </c>
      <c r="Q10" s="49">
        <v>88</v>
      </c>
      <c r="R10" s="49">
        <v>93</v>
      </c>
      <c r="S10" s="49">
        <v>87</v>
      </c>
      <c r="T10" s="51">
        <v>358</v>
      </c>
      <c r="U10" s="51">
        <v>1101</v>
      </c>
      <c r="V10" s="62" t="s">
        <v>9</v>
      </c>
      <c r="W10" s="11"/>
      <c r="X10" s="13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5.75" x14ac:dyDescent="0.25">
      <c r="A11" s="36">
        <v>5</v>
      </c>
      <c r="B11" s="53" t="s">
        <v>130</v>
      </c>
      <c r="C11" s="53" t="s">
        <v>131</v>
      </c>
      <c r="D11" s="49">
        <v>2003</v>
      </c>
      <c r="E11" s="50" t="s">
        <v>132</v>
      </c>
      <c r="F11" s="49">
        <v>92</v>
      </c>
      <c r="G11" s="49">
        <v>89</v>
      </c>
      <c r="H11" s="49">
        <v>93</v>
      </c>
      <c r="I11" s="49">
        <v>91</v>
      </c>
      <c r="J11" s="51">
        <v>365</v>
      </c>
      <c r="K11" s="49">
        <v>98</v>
      </c>
      <c r="L11" s="49">
        <v>94</v>
      </c>
      <c r="M11" s="49">
        <v>92</v>
      </c>
      <c r="N11" s="49">
        <v>91</v>
      </c>
      <c r="O11" s="51">
        <v>375</v>
      </c>
      <c r="P11" s="49">
        <v>89</v>
      </c>
      <c r="Q11" s="49">
        <v>92</v>
      </c>
      <c r="R11" s="49">
        <v>85</v>
      </c>
      <c r="S11" s="49">
        <v>92</v>
      </c>
      <c r="T11" s="51">
        <v>358</v>
      </c>
      <c r="U11" s="51">
        <v>1098</v>
      </c>
      <c r="V11" s="62" t="s">
        <v>12</v>
      </c>
      <c r="W11" s="1"/>
      <c r="X11" s="13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.75" x14ac:dyDescent="0.25">
      <c r="A12" s="36">
        <v>6</v>
      </c>
      <c r="B12" s="53" t="s">
        <v>10</v>
      </c>
      <c r="C12" s="53" t="s">
        <v>139</v>
      </c>
      <c r="D12" s="49">
        <v>1984</v>
      </c>
      <c r="E12" s="50" t="s">
        <v>11</v>
      </c>
      <c r="F12" s="49">
        <v>91</v>
      </c>
      <c r="G12" s="49">
        <v>91</v>
      </c>
      <c r="H12" s="49">
        <v>91</v>
      </c>
      <c r="I12" s="49">
        <v>92</v>
      </c>
      <c r="J12" s="51">
        <f>SUM(F12:I12)</f>
        <v>365</v>
      </c>
      <c r="K12" s="49">
        <v>97</v>
      </c>
      <c r="L12" s="49">
        <v>95</v>
      </c>
      <c r="M12" s="49">
        <v>97</v>
      </c>
      <c r="N12" s="49">
        <v>96</v>
      </c>
      <c r="O12" s="51">
        <f>SUM(K12:N12)</f>
        <v>385</v>
      </c>
      <c r="P12" s="49">
        <v>88</v>
      </c>
      <c r="Q12" s="49">
        <v>80</v>
      </c>
      <c r="R12" s="49">
        <v>88</v>
      </c>
      <c r="S12" s="49">
        <v>85</v>
      </c>
      <c r="T12" s="51">
        <f>SUM(P12:S12)</f>
        <v>341</v>
      </c>
      <c r="U12" s="51">
        <f>J12+O12+T12</f>
        <v>1091</v>
      </c>
      <c r="V12" s="62" t="s">
        <v>12</v>
      </c>
      <c r="W12" s="1"/>
      <c r="X12" s="13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75" x14ac:dyDescent="0.25">
      <c r="A13" s="36">
        <v>7</v>
      </c>
      <c r="B13" s="53" t="s">
        <v>133</v>
      </c>
      <c r="C13" s="53" t="s">
        <v>134</v>
      </c>
      <c r="D13" s="49">
        <v>1991</v>
      </c>
      <c r="E13" s="50" t="s">
        <v>20</v>
      </c>
      <c r="F13" s="49">
        <v>87</v>
      </c>
      <c r="G13" s="49">
        <v>89</v>
      </c>
      <c r="H13" s="49">
        <v>87</v>
      </c>
      <c r="I13" s="49">
        <v>90</v>
      </c>
      <c r="J13" s="51">
        <v>353</v>
      </c>
      <c r="K13" s="49">
        <v>99</v>
      </c>
      <c r="L13" s="49">
        <v>97</v>
      </c>
      <c r="M13" s="49">
        <v>96</v>
      </c>
      <c r="N13" s="49">
        <v>98</v>
      </c>
      <c r="O13" s="51">
        <v>390</v>
      </c>
      <c r="P13" s="49">
        <v>87</v>
      </c>
      <c r="Q13" s="49">
        <v>81</v>
      </c>
      <c r="R13" s="49">
        <v>85</v>
      </c>
      <c r="S13" s="49">
        <v>92</v>
      </c>
      <c r="T13" s="51">
        <v>345</v>
      </c>
      <c r="U13" s="51">
        <v>1088</v>
      </c>
      <c r="V13" s="62" t="s">
        <v>12</v>
      </c>
      <c r="W13" s="1"/>
      <c r="X13" s="13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5.75" x14ac:dyDescent="0.25">
      <c r="A14" s="36">
        <v>8</v>
      </c>
      <c r="B14" s="53" t="s">
        <v>17</v>
      </c>
      <c r="C14" s="53" t="s">
        <v>18</v>
      </c>
      <c r="D14" s="49">
        <v>1956</v>
      </c>
      <c r="E14" s="50" t="s">
        <v>11</v>
      </c>
      <c r="F14" s="49">
        <v>96</v>
      </c>
      <c r="G14" s="49">
        <v>91</v>
      </c>
      <c r="H14" s="49">
        <v>84</v>
      </c>
      <c r="I14" s="49">
        <v>90</v>
      </c>
      <c r="J14" s="51">
        <f>SUM(F14:I14)</f>
        <v>361</v>
      </c>
      <c r="K14" s="49">
        <v>98</v>
      </c>
      <c r="L14" s="49">
        <v>94</v>
      </c>
      <c r="M14" s="49">
        <v>88</v>
      </c>
      <c r="N14" s="49">
        <v>94</v>
      </c>
      <c r="O14" s="51">
        <f>SUM(K14:N14)</f>
        <v>374</v>
      </c>
      <c r="P14" s="49">
        <v>92</v>
      </c>
      <c r="Q14" s="49">
        <v>87</v>
      </c>
      <c r="R14" s="49">
        <v>84</v>
      </c>
      <c r="S14" s="49">
        <v>80</v>
      </c>
      <c r="T14" s="51">
        <f>SUM(P14:S14)</f>
        <v>343</v>
      </c>
      <c r="U14" s="51">
        <f>J14+O14+T14</f>
        <v>1078</v>
      </c>
      <c r="V14" s="62" t="s">
        <v>12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75" x14ac:dyDescent="0.25">
      <c r="A15" s="36">
        <v>9</v>
      </c>
      <c r="B15" s="53" t="s">
        <v>23</v>
      </c>
      <c r="C15" s="53" t="s">
        <v>140</v>
      </c>
      <c r="D15" s="49">
        <v>1968</v>
      </c>
      <c r="E15" s="50" t="s">
        <v>11</v>
      </c>
      <c r="F15" s="49">
        <f>10+9+8+10+9+10+10+10+8+10</f>
        <v>94</v>
      </c>
      <c r="G15" s="49">
        <f>9+10+9+10+10+10+10+10+10+10</f>
        <v>98</v>
      </c>
      <c r="H15" s="49">
        <v>92</v>
      </c>
      <c r="I15" s="49">
        <f>9+10+10+10+10+9+8+10+9+9</f>
        <v>94</v>
      </c>
      <c r="J15" s="51">
        <f>SUM(F15:I15)</f>
        <v>378</v>
      </c>
      <c r="K15" s="49">
        <f>8+9+9+9+9+9+10+10+8+10</f>
        <v>91</v>
      </c>
      <c r="L15" s="49">
        <f>10+10+9+10+9+10+10+10+9+10</f>
        <v>97</v>
      </c>
      <c r="M15" s="49">
        <f>9+10+10+10+10+9+9+10+10+10</f>
        <v>97</v>
      </c>
      <c r="N15" s="49">
        <f>9+9+9+10+10+9+10+9+9+10</f>
        <v>94</v>
      </c>
      <c r="O15" s="51">
        <f>SUM(K15:N15)</f>
        <v>379</v>
      </c>
      <c r="P15" s="49">
        <f>8+9+9+5+10+8+6+10+9+9</f>
        <v>83</v>
      </c>
      <c r="Q15" s="49">
        <f>8+7+7+9+9+9+8+9+9+9</f>
        <v>84</v>
      </c>
      <c r="R15" s="49">
        <f>8+8+7+9+7+6+6+9+6+9</f>
        <v>75</v>
      </c>
      <c r="S15" s="49">
        <f>10+8+9+9+7+6+9+7+6+8</f>
        <v>79</v>
      </c>
      <c r="T15" s="51">
        <f>SUM(P15:S15)</f>
        <v>321</v>
      </c>
      <c r="U15" s="51">
        <f>J15+O15+T15</f>
        <v>1078</v>
      </c>
      <c r="V15" s="62" t="s">
        <v>12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5.75" x14ac:dyDescent="0.25">
      <c r="A16" s="36">
        <v>10</v>
      </c>
      <c r="B16" s="53" t="s">
        <v>106</v>
      </c>
      <c r="C16" s="53" t="s">
        <v>141</v>
      </c>
      <c r="D16" s="49">
        <v>1958</v>
      </c>
      <c r="E16" s="50" t="s">
        <v>11</v>
      </c>
      <c r="F16" s="49">
        <v>92</v>
      </c>
      <c r="G16" s="49">
        <v>96</v>
      </c>
      <c r="H16" s="49">
        <v>88</v>
      </c>
      <c r="I16" s="49">
        <v>95</v>
      </c>
      <c r="J16" s="51">
        <f>SUM(F16:I16)</f>
        <v>371</v>
      </c>
      <c r="K16" s="49">
        <v>93</v>
      </c>
      <c r="L16" s="49">
        <v>95</v>
      </c>
      <c r="M16" s="49">
        <v>93</v>
      </c>
      <c r="N16" s="49">
        <v>93</v>
      </c>
      <c r="O16" s="51">
        <f>SUM(K16:N16)</f>
        <v>374</v>
      </c>
      <c r="P16" s="49">
        <v>78</v>
      </c>
      <c r="Q16" s="49">
        <v>87</v>
      </c>
      <c r="R16" s="49">
        <v>77</v>
      </c>
      <c r="S16" s="49">
        <v>82</v>
      </c>
      <c r="T16" s="51">
        <f>SUM(P16:S16)</f>
        <v>324</v>
      </c>
      <c r="U16" s="51">
        <f>J16+O16+T16</f>
        <v>1069</v>
      </c>
      <c r="V16" s="62" t="s">
        <v>12</v>
      </c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</row>
    <row r="17" spans="1:50" ht="15.75" x14ac:dyDescent="0.25">
      <c r="A17" s="36">
        <v>11</v>
      </c>
      <c r="B17" s="50" t="s">
        <v>135</v>
      </c>
      <c r="C17" s="50" t="s">
        <v>136</v>
      </c>
      <c r="D17" s="49">
        <v>2003</v>
      </c>
      <c r="E17" s="50" t="s">
        <v>132</v>
      </c>
      <c r="F17" s="49">
        <v>88</v>
      </c>
      <c r="G17" s="49">
        <v>91</v>
      </c>
      <c r="H17" s="49">
        <v>88</v>
      </c>
      <c r="I17" s="49">
        <v>87</v>
      </c>
      <c r="J17" s="51">
        <v>354</v>
      </c>
      <c r="K17" s="49">
        <v>96</v>
      </c>
      <c r="L17" s="49">
        <v>89</v>
      </c>
      <c r="M17" s="49">
        <v>95</v>
      </c>
      <c r="N17" s="49">
        <v>96</v>
      </c>
      <c r="O17" s="51">
        <v>376</v>
      </c>
      <c r="P17" s="49">
        <v>88</v>
      </c>
      <c r="Q17" s="49">
        <v>88</v>
      </c>
      <c r="R17" s="49">
        <v>74</v>
      </c>
      <c r="S17" s="49">
        <v>86</v>
      </c>
      <c r="T17" s="51">
        <v>336</v>
      </c>
      <c r="U17" s="51">
        <v>1066</v>
      </c>
      <c r="V17" s="62" t="s">
        <v>12</v>
      </c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</row>
    <row r="18" spans="1:50" ht="15.75" x14ac:dyDescent="0.25">
      <c r="A18" s="36">
        <v>12</v>
      </c>
      <c r="B18" s="50" t="s">
        <v>105</v>
      </c>
      <c r="C18" s="50" t="s">
        <v>142</v>
      </c>
      <c r="D18" s="49">
        <v>1960</v>
      </c>
      <c r="E18" s="50" t="s">
        <v>11</v>
      </c>
      <c r="F18" s="49">
        <f>10+9+10+9+10+10+10+10+10+9</f>
        <v>97</v>
      </c>
      <c r="G18" s="49">
        <f>9+10+8+9+10+10+8+10+7+8</f>
        <v>89</v>
      </c>
      <c r="H18" s="49">
        <f>10+9+9+10+9+8+8+9+9+10</f>
        <v>91</v>
      </c>
      <c r="I18" s="49">
        <f>9+10+10+9+10+9+8+10+9+9</f>
        <v>93</v>
      </c>
      <c r="J18" s="51">
        <f>SUM(F18:I18)</f>
        <v>370</v>
      </c>
      <c r="K18" s="49">
        <f>10+10+10+9+9+10+10+10+10+10</f>
        <v>98</v>
      </c>
      <c r="L18" s="49">
        <f>9+9+10+9+10+10+10+9+10+10</f>
        <v>96</v>
      </c>
      <c r="M18" s="49">
        <f>10+9+10+9+9+10+9+9+10+10</f>
        <v>95</v>
      </c>
      <c r="N18" s="49">
        <f>9+9+9+9+10+10+10+10+10+10</f>
        <v>96</v>
      </c>
      <c r="O18" s="51">
        <f>SUM(K18:N18)</f>
        <v>385</v>
      </c>
      <c r="P18" s="49">
        <f>9+5+9+8+7+10+6+6+9+9</f>
        <v>78</v>
      </c>
      <c r="Q18" s="49">
        <f>9+7+9+7+10+6+5+6+9+6</f>
        <v>74</v>
      </c>
      <c r="R18" s="49">
        <f>8+7+9+1+9+9+9+10+9+8</f>
        <v>79</v>
      </c>
      <c r="S18" s="49">
        <f>4+8+8+9+9+7+10+8+8+7</f>
        <v>78</v>
      </c>
      <c r="T18" s="51">
        <f>SUM(P18:S18)</f>
        <v>309</v>
      </c>
      <c r="U18" s="51">
        <f>J18+O18+T18</f>
        <v>1064</v>
      </c>
      <c r="V18" s="62" t="s">
        <v>12</v>
      </c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</row>
    <row r="19" spans="1:50" ht="15.75" x14ac:dyDescent="0.25">
      <c r="A19" s="36">
        <v>13</v>
      </c>
      <c r="B19" s="50" t="s">
        <v>107</v>
      </c>
      <c r="C19" s="50" t="s">
        <v>143</v>
      </c>
      <c r="D19" s="49">
        <v>1966</v>
      </c>
      <c r="E19" s="50" t="s">
        <v>11</v>
      </c>
      <c r="F19" s="49">
        <f>9+10+9+9+10+10+10+9+10+8</f>
        <v>94</v>
      </c>
      <c r="G19" s="49">
        <f>9+9+10+9+8+9+10+9+9+10</f>
        <v>92</v>
      </c>
      <c r="H19" s="49">
        <f>9+9+9+9+8+9+10+8+8+9</f>
        <v>88</v>
      </c>
      <c r="I19" s="49">
        <f>9+9+9+8+9+10+10+9+6+9</f>
        <v>88</v>
      </c>
      <c r="J19" s="51">
        <f>SUM(F19:I19)</f>
        <v>362</v>
      </c>
      <c r="K19" s="49">
        <f>9+8+10+8+10+10+9+10+10+9</f>
        <v>93</v>
      </c>
      <c r="L19" s="49">
        <f>9+10+10+10+9+10+10+9+9+9</f>
        <v>95</v>
      </c>
      <c r="M19" s="49">
        <f>9+8+10+10+10+10+10+10+10+9</f>
        <v>96</v>
      </c>
      <c r="N19" s="49">
        <f>10+9+10+9+9+9+9+9+10+10</f>
        <v>94</v>
      </c>
      <c r="O19" s="51">
        <f>SUM(K19:N19)</f>
        <v>378</v>
      </c>
      <c r="P19" s="49">
        <v>81</v>
      </c>
      <c r="Q19" s="49">
        <v>80</v>
      </c>
      <c r="R19" s="49">
        <v>79</v>
      </c>
      <c r="S19" s="49">
        <v>83</v>
      </c>
      <c r="T19" s="51">
        <f>SUM(P19:S19)</f>
        <v>323</v>
      </c>
      <c r="U19" s="51">
        <f>J19+O19+T19</f>
        <v>1063</v>
      </c>
      <c r="V19" s="62" t="s">
        <v>12</v>
      </c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</row>
    <row r="20" spans="1:50" ht="15.75" x14ac:dyDescent="0.25">
      <c r="A20" s="36">
        <v>14</v>
      </c>
      <c r="B20" s="50" t="s">
        <v>137</v>
      </c>
      <c r="C20" s="50" t="s">
        <v>138</v>
      </c>
      <c r="D20" s="49">
        <v>2002</v>
      </c>
      <c r="E20" s="50" t="s">
        <v>132</v>
      </c>
      <c r="F20" s="49">
        <v>88</v>
      </c>
      <c r="G20" s="49">
        <v>90</v>
      </c>
      <c r="H20" s="49">
        <v>85</v>
      </c>
      <c r="I20" s="49">
        <v>87</v>
      </c>
      <c r="J20" s="51">
        <v>350</v>
      </c>
      <c r="K20" s="49">
        <v>92</v>
      </c>
      <c r="L20" s="49">
        <v>96</v>
      </c>
      <c r="M20" s="49">
        <v>96</v>
      </c>
      <c r="N20" s="49">
        <v>94</v>
      </c>
      <c r="O20" s="51">
        <v>378</v>
      </c>
      <c r="P20" s="49">
        <v>85</v>
      </c>
      <c r="Q20" s="49">
        <v>83</v>
      </c>
      <c r="R20" s="49">
        <v>77</v>
      </c>
      <c r="S20" s="49">
        <v>84</v>
      </c>
      <c r="T20" s="51">
        <v>329</v>
      </c>
      <c r="U20" s="51">
        <v>1057</v>
      </c>
      <c r="V20" s="62" t="s">
        <v>12</v>
      </c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</row>
    <row r="21" spans="1:50" ht="15.75" x14ac:dyDescent="0.25">
      <c r="A21" s="36">
        <v>15</v>
      </c>
      <c r="B21" s="50" t="s">
        <v>25</v>
      </c>
      <c r="C21" s="50" t="s">
        <v>144</v>
      </c>
      <c r="D21" s="49">
        <v>1939</v>
      </c>
      <c r="E21" s="50" t="s">
        <v>11</v>
      </c>
      <c r="F21" s="49">
        <f>9+9+10+8+10+8+9+9+8+9</f>
        <v>89</v>
      </c>
      <c r="G21" s="49">
        <f>8+9+9+7+9+9+10+8+9+8</f>
        <v>86</v>
      </c>
      <c r="H21" s="49">
        <f>8+8+9+9+9+8+10+9+7+9</f>
        <v>86</v>
      </c>
      <c r="I21" s="49">
        <f>8+7+9+9+10+9+9+9+9+9</f>
        <v>88</v>
      </c>
      <c r="J21" s="51">
        <f>SUM(F21:I21)</f>
        <v>349</v>
      </c>
      <c r="K21" s="49">
        <f>9+7+8+9+9+9+10+10+9+9</f>
        <v>89</v>
      </c>
      <c r="L21" s="49">
        <f>10+10+10+10+10+10+10+10+9+10</f>
        <v>99</v>
      </c>
      <c r="M21" s="49">
        <f>10+9+8+9+9+9+10+8+9+9</f>
        <v>90</v>
      </c>
      <c r="N21" s="49">
        <f>9+9+10+9+9+9+9+8+10+10</f>
        <v>92</v>
      </c>
      <c r="O21" s="51">
        <f>SUM(K21:N21)</f>
        <v>370</v>
      </c>
      <c r="P21" s="49">
        <f>7+7+5+10+7+8+10+10+9+5</f>
        <v>78</v>
      </c>
      <c r="Q21" s="49">
        <f>8+9+6+8+6+7+4+8+7+10</f>
        <v>73</v>
      </c>
      <c r="R21" s="49">
        <f>9+6+6+8+7+9+8+9+7+7</f>
        <v>76</v>
      </c>
      <c r="S21" s="49">
        <v>77</v>
      </c>
      <c r="T21" s="51">
        <f>SUM(P21:S21)</f>
        <v>304</v>
      </c>
      <c r="U21" s="51">
        <f>J21+O21+T21</f>
        <v>1023</v>
      </c>
      <c r="V21" s="62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</row>
    <row r="22" spans="1:50" ht="15.75" x14ac:dyDescent="0.25">
      <c r="A22" s="36">
        <v>16</v>
      </c>
      <c r="B22" s="50" t="s">
        <v>37</v>
      </c>
      <c r="C22" s="50" t="s">
        <v>38</v>
      </c>
      <c r="D22" s="49">
        <v>1942</v>
      </c>
      <c r="E22" s="50" t="s">
        <v>11</v>
      </c>
      <c r="F22" s="49">
        <f>9+9+8+9+9+7+9+9+8+8</f>
        <v>85</v>
      </c>
      <c r="G22" s="49">
        <f>8+9+9+9+8+10+8+9+10+10</f>
        <v>90</v>
      </c>
      <c r="H22" s="49">
        <f>10+10+10+7+9+9+7+8+8+8</f>
        <v>86</v>
      </c>
      <c r="I22" s="49">
        <f>9+9+9+9+8+6+9+7+8+10</f>
        <v>84</v>
      </c>
      <c r="J22" s="51">
        <f>SUM(F22:I22)</f>
        <v>345</v>
      </c>
      <c r="K22" s="49">
        <f>10+10+8+9+9+9+9+10+8+10</f>
        <v>92</v>
      </c>
      <c r="L22" s="49">
        <f>9+7+10+9+10+10+10+9+10+10</f>
        <v>94</v>
      </c>
      <c r="M22" s="49">
        <f>6+9+8+8+8+9+10+10+9+9</f>
        <v>86</v>
      </c>
      <c r="N22" s="49">
        <f>8+9+10+10+9+10+8+9+8+9</f>
        <v>90</v>
      </c>
      <c r="O22" s="51">
        <f>SUM(K22:N22)</f>
        <v>362</v>
      </c>
      <c r="P22" s="49">
        <f>1+4+5+7+9+8+8+7+9+6</f>
        <v>64</v>
      </c>
      <c r="Q22" s="49">
        <f>10+9+5+6+7+6+7+6+6+9</f>
        <v>71</v>
      </c>
      <c r="R22" s="49">
        <f>2+9+6+6+7+6+9+3+5+8</f>
        <v>61</v>
      </c>
      <c r="S22" s="49">
        <f>7+7+9+8+6+4+6+9+5+7</f>
        <v>68</v>
      </c>
      <c r="T22" s="51">
        <f>SUM(P22:S22)</f>
        <v>264</v>
      </c>
      <c r="U22" s="51">
        <f>J22+O22+T22</f>
        <v>971</v>
      </c>
      <c r="V22" s="62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1:50" ht="15.75" x14ac:dyDescent="0.25">
      <c r="A23" s="40"/>
      <c r="B23" s="42"/>
      <c r="C23" s="42"/>
      <c r="D23" s="42"/>
      <c r="E23" s="42"/>
      <c r="F23" s="43"/>
      <c r="G23" s="43"/>
      <c r="H23" s="43"/>
      <c r="I23" s="43"/>
      <c r="J23" s="44"/>
      <c r="K23" s="43"/>
      <c r="L23" s="43"/>
      <c r="M23" s="43"/>
      <c r="N23" s="43"/>
      <c r="O23" s="44"/>
      <c r="P23" s="43"/>
      <c r="Q23" s="43"/>
      <c r="R23" s="43"/>
      <c r="S23" s="43"/>
      <c r="T23" s="44"/>
      <c r="U23" s="44"/>
      <c r="V23" s="8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5.75" x14ac:dyDescent="0.25">
      <c r="A24" s="40" t="s">
        <v>92</v>
      </c>
      <c r="B24" s="42" t="s">
        <v>108</v>
      </c>
      <c r="C24" s="42" t="s">
        <v>95</v>
      </c>
      <c r="D24" s="54">
        <v>1991</v>
      </c>
      <c r="E24" s="42" t="s">
        <v>96</v>
      </c>
      <c r="F24" s="54">
        <f>9+10+8+10+10+9+10+10+10+9</f>
        <v>95</v>
      </c>
      <c r="G24" s="54">
        <f>9+10+9+9+10+10+10+10+10+10</f>
        <v>97</v>
      </c>
      <c r="H24" s="54">
        <f>9+10+10+10+9+9+10+10+9+10</f>
        <v>96</v>
      </c>
      <c r="I24" s="54">
        <f>10+10+10+10+10+10+10+10+9+9</f>
        <v>98</v>
      </c>
      <c r="J24" s="55">
        <f>SUM(F24:I24)</f>
        <v>386</v>
      </c>
      <c r="K24" s="54">
        <f>10+10+10+10+10+10+10+9+10+10</f>
        <v>99</v>
      </c>
      <c r="L24" s="54">
        <f>9+10+10+10+10+10+10+10+10+9</f>
        <v>98</v>
      </c>
      <c r="M24" s="54">
        <f>10+10+10+10+10+10+10+10+9+10</f>
        <v>99</v>
      </c>
      <c r="N24" s="54">
        <f>10+10+9+9+10+10+10+10+9+10</f>
        <v>97</v>
      </c>
      <c r="O24" s="55">
        <f>SUM(K24:N24)</f>
        <v>393</v>
      </c>
      <c r="P24" s="54">
        <f>9+9+9+10+8+10+10+9+10+10</f>
        <v>94</v>
      </c>
      <c r="Q24" s="54">
        <f>9+8+8+8+9+10+9+10+10+9</f>
        <v>90</v>
      </c>
      <c r="R24" s="54">
        <f>9+10+10+9+9+10+9+10+9+10</f>
        <v>95</v>
      </c>
      <c r="S24" s="54">
        <f>10+10+9+9+10+10+9+9+10+10</f>
        <v>96</v>
      </c>
      <c r="T24" s="55">
        <f>SUM(P24:S24)</f>
        <v>375</v>
      </c>
      <c r="U24" s="55">
        <f>J24+O24+T24</f>
        <v>1154</v>
      </c>
      <c r="V24" s="8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8"/>
      <c r="W25" s="10"/>
      <c r="X25" s="1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5.75" x14ac:dyDescent="0.25">
      <c r="A26" s="66"/>
      <c r="B26" s="67" t="s">
        <v>160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W26" s="11"/>
      <c r="X26" s="13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5.75" x14ac:dyDescent="0.25">
      <c r="A27" s="68" t="s">
        <v>2</v>
      </c>
      <c r="B27" s="68" t="s">
        <v>3</v>
      </c>
      <c r="C27" s="68" t="s">
        <v>4</v>
      </c>
      <c r="D27" s="68" t="s">
        <v>5</v>
      </c>
      <c r="E27" s="68" t="s">
        <v>6</v>
      </c>
      <c r="F27" s="96" t="s">
        <v>157</v>
      </c>
      <c r="G27" s="97"/>
      <c r="H27" s="97"/>
      <c r="I27" s="97"/>
      <c r="J27" s="97"/>
      <c r="K27" s="96" t="s">
        <v>158</v>
      </c>
      <c r="L27" s="97"/>
      <c r="M27" s="97"/>
      <c r="N27" s="97"/>
      <c r="O27" s="97"/>
      <c r="P27" s="98" t="s">
        <v>159</v>
      </c>
      <c r="Q27" s="99"/>
      <c r="R27" s="99"/>
      <c r="S27" s="99"/>
      <c r="T27" s="99"/>
      <c r="U27" s="68" t="s">
        <v>8</v>
      </c>
      <c r="V27" s="10" t="s">
        <v>46</v>
      </c>
      <c r="W27" s="11"/>
      <c r="X27" s="13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 x14ac:dyDescent="0.25">
      <c r="A28" s="39" t="s">
        <v>9</v>
      </c>
      <c r="B28" s="57" t="s">
        <v>145</v>
      </c>
      <c r="C28" s="57" t="s">
        <v>146</v>
      </c>
      <c r="D28" s="58">
        <v>1994</v>
      </c>
      <c r="E28" s="56" t="s">
        <v>20</v>
      </c>
      <c r="F28" s="58">
        <v>95</v>
      </c>
      <c r="G28" s="58">
        <v>94</v>
      </c>
      <c r="H28" s="58">
        <v>93</v>
      </c>
      <c r="I28" s="58">
        <v>96</v>
      </c>
      <c r="J28" s="59">
        <v>378</v>
      </c>
      <c r="K28" s="58">
        <v>99</v>
      </c>
      <c r="L28" s="58">
        <v>99</v>
      </c>
      <c r="M28" s="58">
        <v>96</v>
      </c>
      <c r="N28" s="58">
        <v>97</v>
      </c>
      <c r="O28" s="59">
        <v>391</v>
      </c>
      <c r="P28" s="58">
        <v>89</v>
      </c>
      <c r="Q28" s="58">
        <v>91</v>
      </c>
      <c r="R28" s="58">
        <v>92</v>
      </c>
      <c r="S28" s="58">
        <v>94</v>
      </c>
      <c r="T28" s="59">
        <v>366</v>
      </c>
      <c r="U28" s="59">
        <v>1135</v>
      </c>
      <c r="V28" s="8" t="s">
        <v>199</v>
      </c>
      <c r="W28" s="11"/>
      <c r="X28" s="1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5.75" x14ac:dyDescent="0.25">
      <c r="A29" s="39" t="s">
        <v>12</v>
      </c>
      <c r="B29" s="57" t="s">
        <v>41</v>
      </c>
      <c r="C29" s="57" t="s">
        <v>155</v>
      </c>
      <c r="D29" s="58">
        <v>1968</v>
      </c>
      <c r="E29" s="56" t="s">
        <v>11</v>
      </c>
      <c r="F29" s="58">
        <f>9+10+10+8+9+10+10+10+9+8</f>
        <v>93</v>
      </c>
      <c r="G29" s="58">
        <f>9+10+10+10+10+9+10+10+9+10</f>
        <v>97</v>
      </c>
      <c r="H29" s="58">
        <f>10+10+10+9+10+9+9+8+9+9</f>
        <v>93</v>
      </c>
      <c r="I29" s="58">
        <f>9+10+9+8+9+9+9+10+9+10</f>
        <v>92</v>
      </c>
      <c r="J29" s="59">
        <f>SUM(F29:I29)</f>
        <v>375</v>
      </c>
      <c r="K29" s="58">
        <f>10+10+10+9+10+9+10+9+9+10</f>
        <v>96</v>
      </c>
      <c r="L29" s="58">
        <f>10+9+9+10+10+9+10+10+10+10</f>
        <v>97</v>
      </c>
      <c r="M29" s="58">
        <f>9+9+10+9+10+10+10+10+9+10</f>
        <v>96</v>
      </c>
      <c r="N29" s="58">
        <f>10+10+10+8+10+10+10+10+10+9</f>
        <v>97</v>
      </c>
      <c r="O29" s="59">
        <f>SUM(K29:N29)</f>
        <v>386</v>
      </c>
      <c r="P29" s="58">
        <f>10+10+9+10+9+9+10+10+10+9</f>
        <v>96</v>
      </c>
      <c r="Q29" s="58">
        <f>10+10+9+10+9+9+8+9+10+10</f>
        <v>94</v>
      </c>
      <c r="R29" s="58">
        <f>9+10+10+9+9+10+8+9+10+8</f>
        <v>92</v>
      </c>
      <c r="S29" s="58">
        <f>9+10+9+10+9+10+9+8+9+8</f>
        <v>91</v>
      </c>
      <c r="T29" s="59">
        <f>SUM(P29:S29)</f>
        <v>373</v>
      </c>
      <c r="U29" s="59">
        <f>J29+O29+T29</f>
        <v>1134</v>
      </c>
      <c r="V29" s="8" t="s">
        <v>199</v>
      </c>
      <c r="W29" s="1"/>
      <c r="X29" s="13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5.75" x14ac:dyDescent="0.25">
      <c r="A30" s="39" t="s">
        <v>16</v>
      </c>
      <c r="B30" s="57" t="s">
        <v>147</v>
      </c>
      <c r="C30" s="57" t="s">
        <v>148</v>
      </c>
      <c r="D30" s="58">
        <v>2004</v>
      </c>
      <c r="E30" s="56" t="s">
        <v>119</v>
      </c>
      <c r="F30" s="58">
        <v>94</v>
      </c>
      <c r="G30" s="58">
        <v>93</v>
      </c>
      <c r="H30" s="58">
        <v>92</v>
      </c>
      <c r="I30" s="58">
        <v>95</v>
      </c>
      <c r="J30" s="59">
        <v>374</v>
      </c>
      <c r="K30" s="58">
        <v>97</v>
      </c>
      <c r="L30" s="58">
        <v>96</v>
      </c>
      <c r="M30" s="58">
        <v>97</v>
      </c>
      <c r="N30" s="58">
        <v>97</v>
      </c>
      <c r="O30" s="59">
        <v>387</v>
      </c>
      <c r="P30" s="58">
        <v>93</v>
      </c>
      <c r="Q30" s="58">
        <v>93</v>
      </c>
      <c r="R30" s="58">
        <v>93</v>
      </c>
      <c r="S30" s="58">
        <v>92</v>
      </c>
      <c r="T30" s="59">
        <v>371</v>
      </c>
      <c r="U30" s="59">
        <v>1132</v>
      </c>
      <c r="V30" s="8" t="s">
        <v>9</v>
      </c>
      <c r="W30" s="1"/>
      <c r="X30" s="13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5.75" x14ac:dyDescent="0.25">
      <c r="A31" s="36">
        <v>4</v>
      </c>
      <c r="B31" s="56" t="s">
        <v>149</v>
      </c>
      <c r="C31" s="56" t="s">
        <v>150</v>
      </c>
      <c r="D31" s="58">
        <v>1994</v>
      </c>
      <c r="E31" s="56" t="s">
        <v>119</v>
      </c>
      <c r="F31" s="58">
        <v>92</v>
      </c>
      <c r="G31" s="58">
        <v>92</v>
      </c>
      <c r="H31" s="58">
        <v>96</v>
      </c>
      <c r="I31" s="58">
        <v>90</v>
      </c>
      <c r="J31" s="59">
        <v>370</v>
      </c>
      <c r="K31" s="58">
        <v>97</v>
      </c>
      <c r="L31" s="58">
        <v>100</v>
      </c>
      <c r="M31" s="58">
        <v>96</v>
      </c>
      <c r="N31" s="58">
        <v>97</v>
      </c>
      <c r="O31" s="59">
        <v>390</v>
      </c>
      <c r="P31" s="58">
        <v>92</v>
      </c>
      <c r="Q31" s="58">
        <v>91</v>
      </c>
      <c r="R31" s="58">
        <v>91</v>
      </c>
      <c r="S31" s="58">
        <v>90</v>
      </c>
      <c r="T31" s="59">
        <v>364</v>
      </c>
      <c r="U31" s="59">
        <v>1124</v>
      </c>
      <c r="V31" s="8" t="s">
        <v>9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5.75" x14ac:dyDescent="0.25">
      <c r="A32" s="36">
        <v>5</v>
      </c>
      <c r="B32" s="56" t="s">
        <v>109</v>
      </c>
      <c r="C32" s="56" t="s">
        <v>57</v>
      </c>
      <c r="D32" s="58">
        <v>2000</v>
      </c>
      <c r="E32" s="56" t="s">
        <v>11</v>
      </c>
      <c r="F32" s="58">
        <v>97</v>
      </c>
      <c r="G32" s="58">
        <v>94</v>
      </c>
      <c r="H32" s="58">
        <v>94</v>
      </c>
      <c r="I32" s="58">
        <v>87</v>
      </c>
      <c r="J32" s="59">
        <f>SUM(F32:I32)</f>
        <v>372</v>
      </c>
      <c r="K32" s="58">
        <v>97</v>
      </c>
      <c r="L32" s="58">
        <v>97</v>
      </c>
      <c r="M32" s="58">
        <v>95</v>
      </c>
      <c r="N32" s="58">
        <v>96</v>
      </c>
      <c r="O32" s="59">
        <f>SUM(K32:N32)</f>
        <v>385</v>
      </c>
      <c r="P32" s="58">
        <v>94</v>
      </c>
      <c r="Q32" s="58">
        <v>84</v>
      </c>
      <c r="R32" s="58">
        <v>91</v>
      </c>
      <c r="S32" s="58">
        <v>87</v>
      </c>
      <c r="T32" s="59">
        <f>SUM(P32:S32)</f>
        <v>356</v>
      </c>
      <c r="U32" s="59">
        <f>J32+O32+T32</f>
        <v>1113</v>
      </c>
      <c r="V32" s="8" t="s">
        <v>9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5.75" x14ac:dyDescent="0.25">
      <c r="A33" s="36">
        <v>6</v>
      </c>
      <c r="B33" s="56" t="s">
        <v>151</v>
      </c>
      <c r="C33" s="56" t="s">
        <v>152</v>
      </c>
      <c r="D33" s="58">
        <v>2004</v>
      </c>
      <c r="E33" s="56" t="s">
        <v>39</v>
      </c>
      <c r="F33" s="58">
        <v>93</v>
      </c>
      <c r="G33" s="58">
        <v>92</v>
      </c>
      <c r="H33" s="58">
        <v>96</v>
      </c>
      <c r="I33" s="58">
        <v>97</v>
      </c>
      <c r="J33" s="59">
        <v>378</v>
      </c>
      <c r="K33" s="58">
        <v>95</v>
      </c>
      <c r="L33" s="58">
        <v>93</v>
      </c>
      <c r="M33" s="58">
        <v>96</v>
      </c>
      <c r="N33" s="58">
        <v>94</v>
      </c>
      <c r="O33" s="59">
        <v>378</v>
      </c>
      <c r="P33" s="58">
        <v>89</v>
      </c>
      <c r="Q33" s="58">
        <v>89</v>
      </c>
      <c r="R33" s="58">
        <v>83</v>
      </c>
      <c r="S33" s="58">
        <v>89</v>
      </c>
      <c r="T33" s="59">
        <v>350</v>
      </c>
      <c r="U33" s="59">
        <v>1106</v>
      </c>
      <c r="V33" s="8" t="s">
        <v>9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5.75" x14ac:dyDescent="0.25">
      <c r="A34" s="36">
        <v>7</v>
      </c>
      <c r="B34" s="56" t="s">
        <v>153</v>
      </c>
      <c r="C34" s="56" t="s">
        <v>154</v>
      </c>
      <c r="D34" s="58">
        <v>1953</v>
      </c>
      <c r="E34" s="56" t="s">
        <v>39</v>
      </c>
      <c r="F34" s="58">
        <v>90</v>
      </c>
      <c r="G34" s="58">
        <v>93</v>
      </c>
      <c r="H34" s="58">
        <v>90</v>
      </c>
      <c r="I34" s="58">
        <v>94</v>
      </c>
      <c r="J34" s="59">
        <v>367</v>
      </c>
      <c r="K34" s="58">
        <v>96</v>
      </c>
      <c r="L34" s="58">
        <v>94</v>
      </c>
      <c r="M34" s="58">
        <v>96</v>
      </c>
      <c r="N34" s="58">
        <v>96</v>
      </c>
      <c r="O34" s="59">
        <v>382</v>
      </c>
      <c r="P34" s="58">
        <v>83</v>
      </c>
      <c r="Q34" s="58">
        <v>91</v>
      </c>
      <c r="R34" s="58">
        <v>87</v>
      </c>
      <c r="S34" s="58">
        <v>88</v>
      </c>
      <c r="T34" s="59">
        <v>349</v>
      </c>
      <c r="U34" s="59">
        <v>1098</v>
      </c>
      <c r="V34" s="8" t="s">
        <v>9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5.75" x14ac:dyDescent="0.25">
      <c r="A35" s="1"/>
      <c r="B35" s="50"/>
      <c r="C35" s="50"/>
      <c r="D35" s="49"/>
      <c r="E35" s="50"/>
      <c r="F35" s="49"/>
      <c r="G35" s="49"/>
      <c r="H35" s="49"/>
      <c r="I35" s="49"/>
      <c r="J35" s="51"/>
      <c r="K35" s="49"/>
      <c r="L35" s="49"/>
      <c r="M35" s="49"/>
      <c r="N35" s="49"/>
      <c r="O35" s="51"/>
      <c r="P35" s="49"/>
      <c r="Q35" s="49"/>
      <c r="R35" s="49"/>
      <c r="S35" s="49"/>
      <c r="T35" s="51"/>
      <c r="U35" s="5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75" x14ac:dyDescent="0.25">
      <c r="A36" s="1"/>
      <c r="B36" s="50"/>
      <c r="C36" s="50"/>
      <c r="D36" s="49"/>
      <c r="E36" s="50"/>
      <c r="F36" s="49"/>
      <c r="G36" s="49"/>
      <c r="H36" s="49"/>
      <c r="I36" s="49"/>
      <c r="J36" s="51"/>
      <c r="K36" s="49"/>
      <c r="L36" s="49"/>
      <c r="M36" s="49"/>
      <c r="N36" s="49"/>
      <c r="O36" s="51"/>
      <c r="P36" s="49"/>
      <c r="Q36" s="49"/>
      <c r="R36" s="49"/>
      <c r="S36" s="49"/>
      <c r="T36" s="51"/>
      <c r="U36" s="5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5.75" x14ac:dyDescent="0.25">
      <c r="A37" s="1"/>
      <c r="B37" s="50"/>
      <c r="C37" s="50"/>
      <c r="D37" s="49"/>
      <c r="E37" s="50"/>
      <c r="F37" s="49"/>
      <c r="G37" s="49"/>
      <c r="H37" s="49"/>
      <c r="I37" s="49"/>
      <c r="J37" s="51"/>
      <c r="K37" s="49"/>
      <c r="L37" s="49"/>
      <c r="M37" s="49"/>
      <c r="N37" s="49"/>
      <c r="O37" s="51"/>
      <c r="P37" s="49"/>
      <c r="Q37" s="49"/>
      <c r="R37" s="49"/>
      <c r="S37" s="49"/>
      <c r="T37" s="51"/>
      <c r="U37" s="5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</sheetData>
  <sortState ref="B28:U34">
    <sortCondition descending="1" ref="U28:U34"/>
  </sortState>
  <mergeCells count="7">
    <mergeCell ref="A1:V1"/>
    <mergeCell ref="F6:J6"/>
    <mergeCell ref="K6:O6"/>
    <mergeCell ref="P6:T6"/>
    <mergeCell ref="F27:J27"/>
    <mergeCell ref="K27:O27"/>
    <mergeCell ref="P27:T27"/>
  </mergeCells>
  <pageMargins left="0.75" right="0.75" top="1" bottom="1" header="0.5" footer="0.5"/>
  <pageSetup paperSize="9" scale="96" orientation="landscape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1"/>
  <sheetViews>
    <sheetView topLeftCell="B1" workbookViewId="0">
      <selection activeCell="V17" sqref="V17"/>
    </sheetView>
  </sheetViews>
  <sheetFormatPr defaultColWidth="9" defaultRowHeight="12.75" x14ac:dyDescent="0.2"/>
  <cols>
    <col min="1" max="2" width="4.125" style="18" customWidth="1"/>
    <col min="3" max="3" width="9.375" style="18" customWidth="1"/>
    <col min="4" max="4" width="14.875" style="18" customWidth="1"/>
    <col min="5" max="5" width="4.625" style="18" customWidth="1"/>
    <col min="6" max="6" width="13.625" style="18" customWidth="1"/>
    <col min="7" max="9" width="3.5" style="18" customWidth="1"/>
    <col min="10" max="10" width="3.875" style="18" customWidth="1"/>
    <col min="11" max="13" width="3.5" style="18" customWidth="1"/>
    <col min="14" max="14" width="3.875" style="18" customWidth="1"/>
    <col min="15" max="15" width="4.5" style="18" customWidth="1"/>
    <col min="16" max="16" width="2.625" style="18" customWidth="1"/>
    <col min="17" max="17" width="2.875" style="18" customWidth="1"/>
    <col min="18" max="18" width="3.75" style="18" customWidth="1"/>
    <col min="19" max="16384" width="9" style="18"/>
  </cols>
  <sheetData>
    <row r="1" spans="1:50" ht="20.25" x14ac:dyDescent="0.3">
      <c r="A1" s="100" t="s">
        <v>0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</row>
    <row r="2" spans="1:50" ht="15.75" x14ac:dyDescent="0.25">
      <c r="A2" s="19"/>
      <c r="B2" s="31"/>
      <c r="C2" s="19"/>
      <c r="D2" s="19"/>
      <c r="E2" s="19"/>
      <c r="F2" s="19"/>
      <c r="G2" s="19"/>
      <c r="H2" s="19"/>
      <c r="I2" s="19"/>
      <c r="J2" s="19"/>
      <c r="K2" s="19"/>
      <c r="L2" s="19"/>
      <c r="M2" s="2" t="s">
        <v>110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0" ht="15.75" x14ac:dyDescent="0.25">
      <c r="A3" s="19"/>
      <c r="B3" s="3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</row>
    <row r="4" spans="1:50" ht="15.75" x14ac:dyDescent="0.25">
      <c r="A4" s="19"/>
      <c r="B4" s="3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</row>
    <row r="5" spans="1:50" ht="15.75" x14ac:dyDescent="0.25">
      <c r="A5" s="19"/>
      <c r="B5" s="31"/>
      <c r="C5" s="22" t="s">
        <v>64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8" t="s">
        <v>44</v>
      </c>
      <c r="Q5" s="1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</row>
    <row r="6" spans="1:50" ht="15.75" x14ac:dyDescent="0.25">
      <c r="A6" s="23" t="s">
        <v>2</v>
      </c>
      <c r="B6" s="32"/>
      <c r="C6" s="23" t="s">
        <v>3</v>
      </c>
      <c r="D6" s="23" t="s">
        <v>4</v>
      </c>
      <c r="E6" s="23" t="s">
        <v>5</v>
      </c>
      <c r="F6" s="23" t="s">
        <v>6</v>
      </c>
      <c r="G6" s="102" t="s">
        <v>52</v>
      </c>
      <c r="H6" s="103"/>
      <c r="I6" s="103"/>
      <c r="J6" s="103"/>
      <c r="K6" s="102" t="s">
        <v>51</v>
      </c>
      <c r="L6" s="103"/>
      <c r="M6" s="103"/>
      <c r="N6" s="103"/>
      <c r="O6" s="23" t="s">
        <v>8</v>
      </c>
      <c r="P6" s="8" t="s">
        <v>45</v>
      </c>
      <c r="Q6" s="10" t="s">
        <v>46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ht="15.75" x14ac:dyDescent="0.25">
      <c r="A7" s="21" t="s">
        <v>24</v>
      </c>
      <c r="B7" s="39" t="s">
        <v>9</v>
      </c>
      <c r="C7" s="37" t="s">
        <v>61</v>
      </c>
      <c r="D7" s="24" t="s">
        <v>60</v>
      </c>
      <c r="E7" s="25">
        <v>1970</v>
      </c>
      <c r="F7" s="26" t="s">
        <v>11</v>
      </c>
      <c r="G7" s="21">
        <v>94</v>
      </c>
      <c r="H7" s="21">
        <v>91</v>
      </c>
      <c r="I7" s="21">
        <v>94</v>
      </c>
      <c r="J7" s="20">
        <f t="shared" ref="J7:J12" si="0">SUM(G7:I7)</f>
        <v>279</v>
      </c>
      <c r="K7" s="21">
        <v>95</v>
      </c>
      <c r="L7" s="21">
        <v>99</v>
      </c>
      <c r="M7" s="21">
        <v>95</v>
      </c>
      <c r="N7" s="20">
        <f t="shared" ref="N7:N12" si="1">SUM(K7:M7)</f>
        <v>289</v>
      </c>
      <c r="O7" s="20">
        <f t="shared" ref="O7:O12" si="2">SUM(J7,N7)</f>
        <v>568</v>
      </c>
      <c r="P7" s="8"/>
      <c r="Q7" s="11" t="s">
        <v>9</v>
      </c>
      <c r="R7" s="38" t="s">
        <v>103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</row>
    <row r="8" spans="1:50" ht="15.75" x14ac:dyDescent="0.25">
      <c r="A8" s="21" t="s">
        <v>26</v>
      </c>
      <c r="B8" s="39" t="s">
        <v>12</v>
      </c>
      <c r="C8" s="37" t="s">
        <v>63</v>
      </c>
      <c r="D8" s="24" t="s">
        <v>62</v>
      </c>
      <c r="E8" s="25">
        <v>1978</v>
      </c>
      <c r="F8" s="26" t="s">
        <v>11</v>
      </c>
      <c r="G8" s="21">
        <v>95</v>
      </c>
      <c r="H8" s="21">
        <v>95</v>
      </c>
      <c r="I8" s="21">
        <v>97</v>
      </c>
      <c r="J8" s="20">
        <f t="shared" si="0"/>
        <v>287</v>
      </c>
      <c r="K8" s="21">
        <v>92</v>
      </c>
      <c r="L8" s="21">
        <v>96</v>
      </c>
      <c r="M8" s="21">
        <v>88</v>
      </c>
      <c r="N8" s="20">
        <f t="shared" si="1"/>
        <v>276</v>
      </c>
      <c r="O8" s="20">
        <f t="shared" si="2"/>
        <v>563</v>
      </c>
      <c r="P8" s="8"/>
      <c r="Q8" s="11" t="s">
        <v>9</v>
      </c>
      <c r="R8" s="38" t="s">
        <v>103</v>
      </c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</row>
    <row r="9" spans="1:50" ht="15.75" x14ac:dyDescent="0.25">
      <c r="A9" s="21" t="s">
        <v>29</v>
      </c>
      <c r="B9" s="39" t="s">
        <v>16</v>
      </c>
      <c r="C9" s="37" t="s">
        <v>69</v>
      </c>
      <c r="D9" s="24" t="s">
        <v>68</v>
      </c>
      <c r="E9" s="25">
        <v>1980</v>
      </c>
      <c r="F9" s="26" t="s">
        <v>100</v>
      </c>
      <c r="G9" s="21">
        <v>94</v>
      </c>
      <c r="H9" s="21">
        <v>86</v>
      </c>
      <c r="I9" s="21">
        <v>91</v>
      </c>
      <c r="J9" s="20">
        <f t="shared" si="0"/>
        <v>271</v>
      </c>
      <c r="K9" s="21">
        <v>96</v>
      </c>
      <c r="L9" s="21">
        <v>88</v>
      </c>
      <c r="M9" s="21">
        <v>94</v>
      </c>
      <c r="N9" s="20">
        <f t="shared" si="1"/>
        <v>278</v>
      </c>
      <c r="O9" s="20">
        <f t="shared" si="2"/>
        <v>549</v>
      </c>
      <c r="P9" s="8">
        <v>13</v>
      </c>
      <c r="Q9" s="11" t="s">
        <v>12</v>
      </c>
      <c r="R9" s="38" t="s">
        <v>103</v>
      </c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ht="15.75" x14ac:dyDescent="0.25">
      <c r="A10" s="21" t="s">
        <v>30</v>
      </c>
      <c r="B10" s="33">
        <v>4</v>
      </c>
      <c r="C10" s="38" t="s">
        <v>98</v>
      </c>
      <c r="D10" s="26" t="s">
        <v>99</v>
      </c>
      <c r="E10" s="25">
        <v>2006</v>
      </c>
      <c r="F10" s="26" t="s">
        <v>39</v>
      </c>
      <c r="G10" s="21">
        <v>93</v>
      </c>
      <c r="H10" s="21">
        <v>96</v>
      </c>
      <c r="I10" s="21">
        <v>92</v>
      </c>
      <c r="J10" s="20">
        <f t="shared" si="0"/>
        <v>281</v>
      </c>
      <c r="K10" s="21">
        <v>89</v>
      </c>
      <c r="L10" s="21">
        <v>89</v>
      </c>
      <c r="M10" s="21">
        <v>90</v>
      </c>
      <c r="N10" s="20">
        <f t="shared" si="1"/>
        <v>268</v>
      </c>
      <c r="O10" s="20">
        <f t="shared" si="2"/>
        <v>549</v>
      </c>
      <c r="P10" s="8">
        <v>6</v>
      </c>
      <c r="Q10" s="11" t="s">
        <v>12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ht="15.75" x14ac:dyDescent="0.25">
      <c r="A11" s="21" t="s">
        <v>31</v>
      </c>
      <c r="B11" s="33">
        <v>5</v>
      </c>
      <c r="C11" s="19" t="s">
        <v>55</v>
      </c>
      <c r="D11" s="26" t="s">
        <v>54</v>
      </c>
      <c r="E11" s="25">
        <v>1957</v>
      </c>
      <c r="F11" s="26" t="s">
        <v>11</v>
      </c>
      <c r="G11" s="21">
        <v>81</v>
      </c>
      <c r="H11" s="21">
        <v>92</v>
      </c>
      <c r="I11" s="21">
        <v>84</v>
      </c>
      <c r="J11" s="20">
        <f t="shared" si="0"/>
        <v>257</v>
      </c>
      <c r="K11" s="21">
        <v>89</v>
      </c>
      <c r="L11" s="21">
        <v>88</v>
      </c>
      <c r="M11" s="21">
        <v>91</v>
      </c>
      <c r="N11" s="20">
        <f t="shared" si="1"/>
        <v>268</v>
      </c>
      <c r="O11" s="20">
        <f t="shared" si="2"/>
        <v>525</v>
      </c>
      <c r="P11" s="8"/>
      <c r="Q11" s="11" t="s">
        <v>16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50" ht="15.75" x14ac:dyDescent="0.25">
      <c r="A12" s="21" t="s">
        <v>35</v>
      </c>
      <c r="B12" s="33">
        <v>6</v>
      </c>
      <c r="C12" s="19" t="s">
        <v>59</v>
      </c>
      <c r="D12" s="26" t="s">
        <v>58</v>
      </c>
      <c r="E12" s="25">
        <v>1959</v>
      </c>
      <c r="F12" s="26" t="s">
        <v>39</v>
      </c>
      <c r="G12" s="21">
        <v>89</v>
      </c>
      <c r="H12" s="21">
        <v>88</v>
      </c>
      <c r="I12" s="21">
        <v>90</v>
      </c>
      <c r="J12" s="20">
        <f t="shared" si="0"/>
        <v>267</v>
      </c>
      <c r="K12" s="21">
        <v>83</v>
      </c>
      <c r="L12" s="21">
        <v>87</v>
      </c>
      <c r="M12" s="21">
        <v>86</v>
      </c>
      <c r="N12" s="20">
        <f t="shared" si="1"/>
        <v>256</v>
      </c>
      <c r="O12" s="20">
        <f t="shared" si="2"/>
        <v>523</v>
      </c>
      <c r="P12" s="8"/>
      <c r="Q12" s="38" t="s">
        <v>16</v>
      </c>
      <c r="R12" s="38" t="s">
        <v>103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</row>
    <row r="13" spans="1:50" ht="15.75" x14ac:dyDescent="0.25">
      <c r="A13" s="21" t="s">
        <v>36</v>
      </c>
      <c r="B13" s="33"/>
      <c r="C13" s="19"/>
      <c r="D13" s="26"/>
      <c r="E13" s="25"/>
      <c r="F13" s="26"/>
      <c r="G13" s="21"/>
      <c r="H13" s="21"/>
      <c r="I13" s="21"/>
      <c r="J13" s="20"/>
      <c r="K13" s="21"/>
      <c r="L13" s="21"/>
      <c r="M13" s="21"/>
      <c r="N13" s="20"/>
      <c r="O13" s="20"/>
      <c r="P13" s="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50" ht="15.75" x14ac:dyDescent="0.25">
      <c r="A14" s="19"/>
      <c r="B14" s="3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50" ht="15.75" x14ac:dyDescent="0.25">
      <c r="A15" s="19"/>
      <c r="B15" s="31"/>
      <c r="C15" s="19" t="s">
        <v>65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ht="15.75" x14ac:dyDescent="0.25">
      <c r="A16" s="19"/>
      <c r="B16" s="3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0" ht="15.75" x14ac:dyDescent="0.25">
      <c r="A17" s="19"/>
      <c r="B17" s="3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ht="15.75" x14ac:dyDescent="0.25">
      <c r="A18" s="19"/>
      <c r="B18" s="31"/>
      <c r="C18" s="22" t="s">
        <v>53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8" t="s">
        <v>44</v>
      </c>
      <c r="Q18" s="1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0" ht="15.75" x14ac:dyDescent="0.25">
      <c r="A19" s="23" t="s">
        <v>2</v>
      </c>
      <c r="B19" s="32"/>
      <c r="C19" s="23" t="s">
        <v>3</v>
      </c>
      <c r="D19" s="23" t="s">
        <v>4</v>
      </c>
      <c r="E19" s="23" t="s">
        <v>5</v>
      </c>
      <c r="F19" s="23" t="s">
        <v>6</v>
      </c>
      <c r="G19" s="102" t="s">
        <v>52</v>
      </c>
      <c r="H19" s="103"/>
      <c r="I19" s="103"/>
      <c r="J19" s="103"/>
      <c r="K19" s="102" t="s">
        <v>51</v>
      </c>
      <c r="L19" s="103"/>
      <c r="M19" s="103"/>
      <c r="N19" s="103"/>
      <c r="O19" s="23" t="s">
        <v>8</v>
      </c>
      <c r="P19" s="8" t="s">
        <v>45</v>
      </c>
      <c r="Q19" s="10" t="s">
        <v>46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0" ht="15.75" x14ac:dyDescent="0.25">
      <c r="A20" s="20" t="s">
        <v>9</v>
      </c>
      <c r="B20" s="39" t="s">
        <v>9</v>
      </c>
      <c r="C20" s="37" t="s">
        <v>94</v>
      </c>
      <c r="D20" s="24" t="s">
        <v>101</v>
      </c>
      <c r="E20" s="25">
        <v>1985</v>
      </c>
      <c r="F20" s="26" t="s">
        <v>96</v>
      </c>
      <c r="G20" s="21">
        <v>96</v>
      </c>
      <c r="H20" s="21">
        <v>94</v>
      </c>
      <c r="I20" s="21">
        <v>93</v>
      </c>
      <c r="J20" s="20">
        <f>SUM(G20:I20)</f>
        <v>283</v>
      </c>
      <c r="K20" s="21">
        <v>87</v>
      </c>
      <c r="L20" s="21">
        <v>86</v>
      </c>
      <c r="M20" s="21">
        <v>96</v>
      </c>
      <c r="N20" s="20">
        <f>SUM(K20:M20)</f>
        <v>269</v>
      </c>
      <c r="O20" s="20">
        <f>SUM(J20,N20)</f>
        <v>552</v>
      </c>
      <c r="P20" s="8"/>
      <c r="Q20" s="11" t="s">
        <v>12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1:50" ht="15.75" x14ac:dyDescent="0.25">
      <c r="A21" s="20" t="s">
        <v>12</v>
      </c>
      <c r="B21" s="39" t="s">
        <v>12</v>
      </c>
      <c r="C21" s="37" t="s">
        <v>93</v>
      </c>
      <c r="D21" s="24" t="s">
        <v>102</v>
      </c>
      <c r="E21" s="25">
        <v>1996</v>
      </c>
      <c r="F21" s="26" t="s">
        <v>11</v>
      </c>
      <c r="G21" s="21">
        <v>91</v>
      </c>
      <c r="H21" s="21">
        <v>80</v>
      </c>
      <c r="I21" s="21">
        <v>90</v>
      </c>
      <c r="J21" s="20">
        <f>SUM(G21:I21)</f>
        <v>261</v>
      </c>
      <c r="K21" s="21">
        <v>92</v>
      </c>
      <c r="L21" s="21">
        <v>93</v>
      </c>
      <c r="M21" s="21">
        <v>90</v>
      </c>
      <c r="N21" s="20">
        <f>SUM(K21:M21)</f>
        <v>275</v>
      </c>
      <c r="O21" s="20">
        <f>SUM(J21,N21)</f>
        <v>536</v>
      </c>
      <c r="P21" s="8"/>
      <c r="Q21" s="11" t="s">
        <v>12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</row>
    <row r="22" spans="1:50" ht="15.75" x14ac:dyDescent="0.25">
      <c r="A22" s="20" t="s">
        <v>16</v>
      </c>
      <c r="B22" s="39" t="s">
        <v>16</v>
      </c>
      <c r="C22" s="37" t="s">
        <v>48</v>
      </c>
      <c r="D22" s="24" t="s">
        <v>47</v>
      </c>
      <c r="E22" s="25">
        <v>2001</v>
      </c>
      <c r="F22" s="26" t="s">
        <v>11</v>
      </c>
      <c r="G22" s="21">
        <v>89</v>
      </c>
      <c r="H22" s="21">
        <v>89</v>
      </c>
      <c r="I22" s="21">
        <v>90</v>
      </c>
      <c r="J22" s="20">
        <f>SUM(G22:I22)</f>
        <v>268</v>
      </c>
      <c r="K22" s="21">
        <v>86</v>
      </c>
      <c r="L22" s="21">
        <v>85</v>
      </c>
      <c r="M22" s="21">
        <v>91</v>
      </c>
      <c r="N22" s="20">
        <f>SUM(K22:M22)</f>
        <v>262</v>
      </c>
      <c r="O22" s="20">
        <f>SUM(J22,N22)</f>
        <v>530</v>
      </c>
      <c r="P22" s="8"/>
      <c r="Q22" s="11" t="s">
        <v>12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</row>
    <row r="23" spans="1:50" ht="15.75" x14ac:dyDescent="0.25">
      <c r="A23" s="21" t="s">
        <v>19</v>
      </c>
      <c r="B23" s="33">
        <v>4</v>
      </c>
      <c r="C23" s="38" t="s">
        <v>97</v>
      </c>
      <c r="D23" s="26" t="s">
        <v>18</v>
      </c>
      <c r="E23" s="25">
        <v>1957</v>
      </c>
      <c r="F23" s="26" t="s">
        <v>11</v>
      </c>
      <c r="G23" s="21">
        <v>86</v>
      </c>
      <c r="H23" s="21">
        <v>90</v>
      </c>
      <c r="I23" s="21">
        <v>85</v>
      </c>
      <c r="J23" s="20">
        <f>SUM(G23:I23)</f>
        <v>261</v>
      </c>
      <c r="K23" s="21">
        <v>84</v>
      </c>
      <c r="L23" s="21">
        <v>93</v>
      </c>
      <c r="M23" s="21">
        <v>90</v>
      </c>
      <c r="N23" s="20">
        <f>SUM(K23:M23)</f>
        <v>267</v>
      </c>
      <c r="O23" s="20">
        <f>SUM(J23,N23)</f>
        <v>528</v>
      </c>
      <c r="P23" s="8"/>
      <c r="Q23" s="11" t="s">
        <v>16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</row>
    <row r="24" spans="1:50" ht="15.75" x14ac:dyDescent="0.25">
      <c r="A24" s="21" t="s">
        <v>22</v>
      </c>
      <c r="B24" s="33"/>
      <c r="C24" s="19"/>
      <c r="D24" s="26"/>
      <c r="E24" s="25"/>
      <c r="F24" s="26"/>
      <c r="G24" s="21"/>
      <c r="H24" s="21"/>
      <c r="I24" s="21"/>
      <c r="J24" s="20"/>
      <c r="K24" s="21"/>
      <c r="L24" s="21"/>
      <c r="M24" s="21"/>
      <c r="N24" s="20"/>
      <c r="O24" s="20"/>
      <c r="P24" s="8"/>
      <c r="Q24" s="11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</row>
    <row r="25" spans="1:50" ht="15.75" x14ac:dyDescent="0.25">
      <c r="A25" s="21" t="s">
        <v>24</v>
      </c>
      <c r="B25" s="33"/>
      <c r="C25" s="19"/>
      <c r="D25" s="26"/>
      <c r="E25" s="25"/>
      <c r="F25" s="26"/>
      <c r="G25" s="21"/>
      <c r="H25" s="21"/>
      <c r="I25" s="21"/>
      <c r="J25" s="20"/>
      <c r="K25" s="21"/>
      <c r="L25" s="21"/>
      <c r="M25" s="21"/>
      <c r="N25" s="20"/>
      <c r="O25" s="20"/>
      <c r="P25" s="8"/>
      <c r="Q25" s="11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</row>
    <row r="26" spans="1:50" ht="15.75" x14ac:dyDescent="0.25">
      <c r="A26" s="19"/>
      <c r="B26" s="3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</row>
    <row r="27" spans="1:50" ht="15.75" x14ac:dyDescent="0.25">
      <c r="A27" s="19"/>
      <c r="B27" s="3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5.75" x14ac:dyDescent="0.25">
      <c r="A28" s="19"/>
      <c r="B28" s="3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</row>
    <row r="29" spans="1:50" ht="15.75" x14ac:dyDescent="0.25">
      <c r="A29" s="19"/>
      <c r="B29" s="3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</row>
    <row r="30" spans="1:50" ht="15.75" x14ac:dyDescent="0.25">
      <c r="A30" s="19"/>
      <c r="B30" s="3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</row>
    <row r="31" spans="1:50" ht="15.75" x14ac:dyDescent="0.25">
      <c r="A31" s="19"/>
      <c r="B31" s="3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</row>
    <row r="32" spans="1:50" ht="15.75" x14ac:dyDescent="0.25">
      <c r="A32" s="19"/>
      <c r="B32" s="3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</row>
    <row r="33" spans="1:50" ht="15.75" x14ac:dyDescent="0.25">
      <c r="A33" s="19"/>
      <c r="B33" s="3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</row>
    <row r="34" spans="1:50" ht="15.75" x14ac:dyDescent="0.25">
      <c r="A34" s="19"/>
      <c r="B34" s="3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</row>
    <row r="35" spans="1:50" ht="15.75" x14ac:dyDescent="0.25">
      <c r="A35" s="19"/>
      <c r="B35" s="3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</row>
    <row r="36" spans="1:50" ht="15.75" x14ac:dyDescent="0.25">
      <c r="A36" s="19"/>
      <c r="B36" s="3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</row>
    <row r="37" spans="1:50" ht="15.75" x14ac:dyDescent="0.25">
      <c r="A37" s="19"/>
      <c r="B37" s="3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</row>
    <row r="38" spans="1:50" ht="15.75" x14ac:dyDescent="0.25">
      <c r="A38" s="19"/>
      <c r="B38" s="3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</row>
    <row r="39" spans="1:50" ht="15.75" x14ac:dyDescent="0.25">
      <c r="A39" s="19"/>
      <c r="B39" s="3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</row>
    <row r="40" spans="1:50" ht="15.75" x14ac:dyDescent="0.25">
      <c r="A40" s="19"/>
      <c r="B40" s="3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</row>
    <row r="41" spans="1:50" ht="15.75" x14ac:dyDescent="0.25">
      <c r="A41" s="19"/>
      <c r="B41" s="3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</row>
    <row r="42" spans="1:50" ht="15.75" x14ac:dyDescent="0.25">
      <c r="A42" s="19"/>
      <c r="B42" s="3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</row>
    <row r="43" spans="1:50" ht="15.75" x14ac:dyDescent="0.25">
      <c r="A43" s="19"/>
      <c r="B43" s="3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ht="15.75" x14ac:dyDescent="0.25">
      <c r="A44" s="19"/>
      <c r="B44" s="3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</row>
    <row r="45" spans="1:50" ht="15.75" x14ac:dyDescent="0.25">
      <c r="A45" s="19"/>
      <c r="B45" s="31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</row>
    <row r="46" spans="1:50" ht="15.75" x14ac:dyDescent="0.25">
      <c r="A46" s="19"/>
      <c r="B46" s="3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  <row r="47" spans="1:50" ht="15.75" x14ac:dyDescent="0.25">
      <c r="A47" s="19"/>
      <c r="B47" s="3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</row>
    <row r="48" spans="1:50" ht="15.75" x14ac:dyDescent="0.25">
      <c r="A48" s="19"/>
      <c r="B48" s="3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</row>
    <row r="49" spans="1:50" ht="15.75" x14ac:dyDescent="0.25">
      <c r="A49" s="19"/>
      <c r="B49" s="3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</row>
    <row r="50" spans="1:50" ht="15.75" x14ac:dyDescent="0.25">
      <c r="A50" s="19"/>
      <c r="B50" s="3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</row>
    <row r="51" spans="1:50" ht="15.75" x14ac:dyDescent="0.25">
      <c r="A51" s="19"/>
      <c r="B51" s="3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</row>
    <row r="52" spans="1:50" ht="15.75" x14ac:dyDescent="0.25">
      <c r="A52" s="19"/>
      <c r="B52" s="3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</row>
    <row r="53" spans="1:50" ht="15.75" x14ac:dyDescent="0.25">
      <c r="A53" s="19"/>
      <c r="B53" s="3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</row>
    <row r="54" spans="1:50" ht="15.75" x14ac:dyDescent="0.25">
      <c r="A54" s="19"/>
      <c r="B54" s="3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</row>
    <row r="55" spans="1:50" ht="15.75" x14ac:dyDescent="0.25">
      <c r="A55" s="19"/>
      <c r="B55" s="3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</row>
    <row r="56" spans="1:50" ht="15.75" x14ac:dyDescent="0.25">
      <c r="A56" s="19"/>
      <c r="B56" s="3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</row>
    <row r="57" spans="1:50" ht="15.75" x14ac:dyDescent="0.25">
      <c r="A57" s="19"/>
      <c r="B57" s="3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</row>
    <row r="58" spans="1:50" ht="15.75" x14ac:dyDescent="0.25">
      <c r="A58" s="19"/>
      <c r="B58" s="3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</row>
    <row r="59" spans="1:50" ht="15.75" x14ac:dyDescent="0.25">
      <c r="A59" s="19"/>
      <c r="B59" s="3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</row>
    <row r="60" spans="1:50" ht="15.75" x14ac:dyDescent="0.25">
      <c r="A60" s="19"/>
      <c r="B60" s="3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</row>
    <row r="61" spans="1:50" ht="15.75" x14ac:dyDescent="0.25">
      <c r="A61" s="19"/>
      <c r="B61" s="3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</row>
    <row r="62" spans="1:50" ht="15.75" x14ac:dyDescent="0.25">
      <c r="A62" s="19"/>
      <c r="B62" s="3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</row>
    <row r="63" spans="1:50" ht="15.75" x14ac:dyDescent="0.25">
      <c r="A63" s="19"/>
      <c r="B63" s="3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</row>
    <row r="64" spans="1:50" ht="15.75" x14ac:dyDescent="0.25">
      <c r="A64" s="19"/>
      <c r="B64" s="3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</row>
    <row r="65" spans="1:50" ht="15.75" x14ac:dyDescent="0.25">
      <c r="A65" s="19"/>
      <c r="B65" s="3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</row>
    <row r="66" spans="1:50" ht="15.75" x14ac:dyDescent="0.25">
      <c r="A66" s="19"/>
      <c r="B66" s="3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</row>
    <row r="67" spans="1:50" ht="15.75" x14ac:dyDescent="0.25">
      <c r="A67" s="19"/>
      <c r="B67" s="3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</row>
    <row r="68" spans="1:50" ht="15.75" x14ac:dyDescent="0.25">
      <c r="A68" s="19"/>
      <c r="B68" s="3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</row>
    <row r="69" spans="1:50" ht="15.75" x14ac:dyDescent="0.25">
      <c r="A69" s="19"/>
      <c r="B69" s="3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</row>
    <row r="70" spans="1:50" ht="15.75" x14ac:dyDescent="0.25">
      <c r="A70" s="19"/>
      <c r="B70" s="3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</row>
    <row r="71" spans="1:50" ht="15.75" x14ac:dyDescent="0.25">
      <c r="A71" s="19"/>
      <c r="B71" s="3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</row>
    <row r="72" spans="1:50" ht="15.75" x14ac:dyDescent="0.25">
      <c r="A72" s="19"/>
      <c r="B72" s="3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</row>
    <row r="73" spans="1:50" ht="15.75" x14ac:dyDescent="0.25">
      <c r="A73" s="19"/>
      <c r="B73" s="3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</row>
    <row r="74" spans="1:50" ht="15.75" x14ac:dyDescent="0.25">
      <c r="A74" s="19"/>
      <c r="B74" s="3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</row>
    <row r="75" spans="1:50" ht="15.75" x14ac:dyDescent="0.25">
      <c r="A75" s="19"/>
      <c r="B75" s="3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</row>
    <row r="76" spans="1:50" ht="15.75" x14ac:dyDescent="0.25">
      <c r="A76" s="19"/>
      <c r="B76" s="3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</row>
    <row r="77" spans="1:50" ht="15.75" x14ac:dyDescent="0.25">
      <c r="A77" s="19"/>
      <c r="B77" s="3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</row>
    <row r="78" spans="1:50" ht="15.75" x14ac:dyDescent="0.25">
      <c r="A78" s="19"/>
      <c r="B78" s="3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</row>
    <row r="79" spans="1:50" ht="15.75" x14ac:dyDescent="0.25">
      <c r="A79" s="19"/>
      <c r="B79" s="3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</row>
    <row r="80" spans="1:50" ht="15.75" x14ac:dyDescent="0.25">
      <c r="A80" s="19"/>
      <c r="B80" s="3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</row>
    <row r="81" spans="1:50" ht="15.75" x14ac:dyDescent="0.25">
      <c r="A81" s="19"/>
      <c r="B81" s="3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</row>
    <row r="82" spans="1:50" ht="15.75" x14ac:dyDescent="0.25">
      <c r="A82" s="19"/>
      <c r="B82" s="3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</row>
    <row r="83" spans="1:50" ht="15.75" x14ac:dyDescent="0.25">
      <c r="A83" s="19"/>
      <c r="B83" s="3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</row>
    <row r="84" spans="1:50" ht="15.75" x14ac:dyDescent="0.25">
      <c r="A84" s="19"/>
      <c r="B84" s="3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</row>
    <row r="85" spans="1:50" ht="15.75" x14ac:dyDescent="0.25">
      <c r="A85" s="19"/>
      <c r="B85" s="3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</row>
    <row r="86" spans="1:50" ht="15.75" x14ac:dyDescent="0.25">
      <c r="A86" s="19"/>
      <c r="B86" s="3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</row>
    <row r="87" spans="1:50" ht="15.75" x14ac:dyDescent="0.25">
      <c r="A87" s="19"/>
      <c r="B87" s="3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</row>
    <row r="88" spans="1:50" ht="15.75" x14ac:dyDescent="0.25">
      <c r="A88" s="19"/>
      <c r="B88" s="3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</row>
    <row r="89" spans="1:50" ht="15.75" x14ac:dyDescent="0.25">
      <c r="A89" s="19"/>
      <c r="B89" s="3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</row>
    <row r="90" spans="1:50" ht="15.75" x14ac:dyDescent="0.25">
      <c r="A90" s="19"/>
      <c r="B90" s="3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</row>
    <row r="91" spans="1:50" ht="15.75" x14ac:dyDescent="0.25">
      <c r="A91" s="19"/>
      <c r="B91" s="3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</row>
  </sheetData>
  <sortState ref="C7:P12">
    <sortCondition descending="1" ref="O7:O12"/>
    <sortCondition descending="1" ref="P7:P12"/>
  </sortState>
  <mergeCells count="5">
    <mergeCell ref="A1:P1"/>
    <mergeCell ref="G6:J6"/>
    <mergeCell ref="K6:N6"/>
    <mergeCell ref="G19:J19"/>
    <mergeCell ref="K19:N19"/>
  </mergeCells>
  <pageMargins left="0.75" right="0.75" top="1" bottom="1" header="0.5" footer="0.5"/>
  <pageSetup paperSize="9" scale="86" orientation="portrait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4"/>
  <sheetViews>
    <sheetView workbookViewId="0">
      <selection activeCell="H22" sqref="H22"/>
    </sheetView>
  </sheetViews>
  <sheetFormatPr defaultColWidth="8.875" defaultRowHeight="12.75" x14ac:dyDescent="0.2"/>
  <cols>
    <col min="1" max="1" width="4.625" customWidth="1"/>
    <col min="2" max="2" width="8.375" customWidth="1"/>
    <col min="3" max="3" width="15.375" bestFit="1" customWidth="1"/>
    <col min="4" max="4" width="7.375" customWidth="1"/>
    <col min="5" max="5" width="9.625" customWidth="1"/>
    <col min="6" max="11" width="3.875" customWidth="1"/>
    <col min="12" max="12" width="4.625" customWidth="1"/>
    <col min="13" max="13" width="3.375" customWidth="1"/>
  </cols>
  <sheetData>
    <row r="1" spans="1:49" ht="20.25" x14ac:dyDescent="0.3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</row>
    <row r="2" spans="1:49" ht="15.75" x14ac:dyDescent="0.25">
      <c r="A2" s="14"/>
      <c r="B2" s="14"/>
      <c r="C2" s="14"/>
      <c r="D2" s="14"/>
      <c r="E2" s="14"/>
      <c r="F2" s="14"/>
      <c r="G2" s="14"/>
      <c r="H2" s="2" t="s">
        <v>110</v>
      </c>
      <c r="I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</row>
    <row r="3" spans="1:49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</row>
    <row r="4" spans="1:49" ht="15.7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ht="15.75" x14ac:dyDescent="0.25">
      <c r="A5" s="14"/>
      <c r="B5" s="15" t="s">
        <v>66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49" ht="15.75" x14ac:dyDescent="0.25">
      <c r="A6" s="16" t="s">
        <v>2</v>
      </c>
      <c r="B6" s="16" t="s">
        <v>3</v>
      </c>
      <c r="C6" s="16" t="s">
        <v>4</v>
      </c>
      <c r="D6" s="16" t="s">
        <v>5</v>
      </c>
      <c r="E6" s="16" t="s">
        <v>6</v>
      </c>
      <c r="F6" s="106" t="s">
        <v>7</v>
      </c>
      <c r="G6" s="107"/>
      <c r="H6" s="107"/>
      <c r="I6" s="107"/>
      <c r="J6" s="107"/>
      <c r="K6" s="107"/>
      <c r="L6" s="16" t="s">
        <v>8</v>
      </c>
      <c r="M6" s="10" t="s">
        <v>46</v>
      </c>
      <c r="N6" s="9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1:49" ht="15.75" x14ac:dyDescent="0.25">
      <c r="A7" s="5" t="s">
        <v>9</v>
      </c>
      <c r="B7" s="52" t="s">
        <v>201</v>
      </c>
      <c r="C7" s="52" t="s">
        <v>202</v>
      </c>
      <c r="D7" s="72">
        <v>1973</v>
      </c>
      <c r="E7" s="53" t="s">
        <v>181</v>
      </c>
      <c r="F7" s="72">
        <v>87</v>
      </c>
      <c r="G7" s="72">
        <v>84</v>
      </c>
      <c r="H7" s="72">
        <v>91</v>
      </c>
      <c r="I7" s="72">
        <v>83</v>
      </c>
      <c r="J7" s="72">
        <v>83</v>
      </c>
      <c r="K7" s="72">
        <v>87</v>
      </c>
      <c r="L7" s="73">
        <v>515</v>
      </c>
      <c r="M7" s="62" t="s">
        <v>12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49" ht="15.75" x14ac:dyDescent="0.25">
      <c r="A8" s="5" t="s">
        <v>12</v>
      </c>
      <c r="B8" s="52" t="s">
        <v>111</v>
      </c>
      <c r="C8" s="52" t="s">
        <v>205</v>
      </c>
      <c r="D8" s="72">
        <v>1964</v>
      </c>
      <c r="E8" s="53" t="s">
        <v>11</v>
      </c>
      <c r="F8" s="72">
        <v>79</v>
      </c>
      <c r="G8" s="72">
        <v>90</v>
      </c>
      <c r="H8" s="72">
        <v>82</v>
      </c>
      <c r="I8" s="72">
        <v>80</v>
      </c>
      <c r="J8" s="72">
        <v>92</v>
      </c>
      <c r="K8" s="72">
        <v>79</v>
      </c>
      <c r="L8" s="73">
        <f>SUM(F8:K8)</f>
        <v>502</v>
      </c>
      <c r="M8" s="62" t="s">
        <v>16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49" ht="15.75" x14ac:dyDescent="0.25">
      <c r="A9" s="5" t="s">
        <v>16</v>
      </c>
      <c r="B9" s="52" t="s">
        <v>63</v>
      </c>
      <c r="C9" s="52" t="s">
        <v>62</v>
      </c>
      <c r="D9" s="72">
        <v>1978</v>
      </c>
      <c r="E9" s="53" t="s">
        <v>11</v>
      </c>
      <c r="F9" s="72">
        <v>87</v>
      </c>
      <c r="G9" s="72">
        <v>74</v>
      </c>
      <c r="H9" s="72">
        <v>77</v>
      </c>
      <c r="I9" s="72">
        <v>88</v>
      </c>
      <c r="J9" s="72">
        <v>86</v>
      </c>
      <c r="K9" s="72">
        <v>89</v>
      </c>
      <c r="L9" s="73">
        <f>SUM(F9:K9)</f>
        <v>501</v>
      </c>
      <c r="M9" s="62" t="s">
        <v>16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15.75" x14ac:dyDescent="0.25">
      <c r="A10" s="63">
        <v>4</v>
      </c>
      <c r="B10" s="53" t="s">
        <v>61</v>
      </c>
      <c r="C10" s="53" t="s">
        <v>60</v>
      </c>
      <c r="D10" s="72">
        <v>1970</v>
      </c>
      <c r="E10" s="53" t="s">
        <v>11</v>
      </c>
      <c r="F10" s="72">
        <v>85</v>
      </c>
      <c r="G10" s="72">
        <v>84</v>
      </c>
      <c r="H10" s="72">
        <v>80</v>
      </c>
      <c r="I10" s="72">
        <v>79</v>
      </c>
      <c r="J10" s="72">
        <v>81</v>
      </c>
      <c r="K10" s="72">
        <v>83</v>
      </c>
      <c r="L10" s="73">
        <v>492</v>
      </c>
      <c r="M10" s="62" t="s">
        <v>16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49" ht="15.75" x14ac:dyDescent="0.25">
      <c r="A11" s="63">
        <v>5</v>
      </c>
      <c r="B11" s="53" t="s">
        <v>112</v>
      </c>
      <c r="C11" s="53" t="s">
        <v>206</v>
      </c>
      <c r="D11" s="72">
        <v>1977</v>
      </c>
      <c r="E11" s="53" t="s">
        <v>11</v>
      </c>
      <c r="F11" s="72">
        <v>85</v>
      </c>
      <c r="G11" s="72">
        <v>78</v>
      </c>
      <c r="H11" s="72">
        <v>84</v>
      </c>
      <c r="I11" s="72">
        <v>76</v>
      </c>
      <c r="J11" s="72">
        <v>82</v>
      </c>
      <c r="K11" s="72">
        <v>86</v>
      </c>
      <c r="L11" s="73">
        <f>SUM(F11:K11)</f>
        <v>491</v>
      </c>
      <c r="M11" s="62" t="s">
        <v>16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5.75" x14ac:dyDescent="0.25">
      <c r="A12" s="63">
        <v>6</v>
      </c>
      <c r="B12" s="53" t="s">
        <v>56</v>
      </c>
      <c r="C12" s="53" t="s">
        <v>184</v>
      </c>
      <c r="D12" s="72">
        <v>1949</v>
      </c>
      <c r="E12" s="53" t="s">
        <v>11</v>
      </c>
      <c r="F12" s="72">
        <v>77</v>
      </c>
      <c r="G12" s="72">
        <v>89</v>
      </c>
      <c r="H12" s="72">
        <v>77</v>
      </c>
      <c r="I12" s="72">
        <v>77</v>
      </c>
      <c r="J12" s="72">
        <v>85</v>
      </c>
      <c r="K12" s="72">
        <v>85</v>
      </c>
      <c r="L12" s="73">
        <f>SUM(F12:K12)</f>
        <v>490</v>
      </c>
      <c r="M12" s="62" t="s">
        <v>16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49" ht="15.75" x14ac:dyDescent="0.25">
      <c r="A13" s="63">
        <v>7</v>
      </c>
      <c r="B13" s="53" t="s">
        <v>203</v>
      </c>
      <c r="C13" s="53" t="s">
        <v>204</v>
      </c>
      <c r="D13" s="72">
        <v>1960</v>
      </c>
      <c r="E13" s="53" t="s">
        <v>11</v>
      </c>
      <c r="F13" s="72">
        <v>75</v>
      </c>
      <c r="G13" s="72">
        <v>81</v>
      </c>
      <c r="H13" s="72">
        <v>82</v>
      </c>
      <c r="I13" s="72">
        <v>81</v>
      </c>
      <c r="J13" s="72">
        <v>75</v>
      </c>
      <c r="K13" s="72">
        <v>82</v>
      </c>
      <c r="L13" s="73">
        <v>476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15.75" x14ac:dyDescent="0.25">
      <c r="A14" s="63">
        <v>8</v>
      </c>
      <c r="B14" s="53" t="s">
        <v>113</v>
      </c>
      <c r="C14" s="53" t="s">
        <v>207</v>
      </c>
      <c r="D14" s="72">
        <v>1980</v>
      </c>
      <c r="E14" s="53" t="s">
        <v>11</v>
      </c>
      <c r="F14" s="72">
        <v>87</v>
      </c>
      <c r="G14" s="72">
        <v>73</v>
      </c>
      <c r="H14" s="72">
        <v>77</v>
      </c>
      <c r="I14" s="72">
        <v>83</v>
      </c>
      <c r="J14" s="72">
        <v>73</v>
      </c>
      <c r="K14" s="72">
        <v>79</v>
      </c>
      <c r="L14" s="73">
        <f>SUM(F14:K14)</f>
        <v>472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5.75" x14ac:dyDescent="0.25">
      <c r="A15" s="63">
        <v>9</v>
      </c>
      <c r="B15" s="53" t="s">
        <v>105</v>
      </c>
      <c r="C15" s="53" t="s">
        <v>142</v>
      </c>
      <c r="D15" s="72">
        <v>1960</v>
      </c>
      <c r="E15" s="53" t="s">
        <v>11</v>
      </c>
      <c r="F15" s="72">
        <v>70</v>
      </c>
      <c r="G15" s="72">
        <v>75</v>
      </c>
      <c r="H15" s="72">
        <v>78</v>
      </c>
      <c r="I15" s="72">
        <v>93</v>
      </c>
      <c r="J15" s="72">
        <v>75</v>
      </c>
      <c r="K15" s="72">
        <v>72</v>
      </c>
      <c r="L15" s="73">
        <v>463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5.75" x14ac:dyDescent="0.25">
      <c r="A16" s="63">
        <v>10</v>
      </c>
      <c r="B16" s="53" t="s">
        <v>59</v>
      </c>
      <c r="C16" s="53" t="s">
        <v>58</v>
      </c>
      <c r="D16" s="72">
        <v>1959</v>
      </c>
      <c r="E16" s="53" t="s">
        <v>39</v>
      </c>
      <c r="F16" s="72">
        <v>80</v>
      </c>
      <c r="G16" s="72">
        <v>81</v>
      </c>
      <c r="H16" s="72">
        <v>79</v>
      </c>
      <c r="I16" s="72">
        <v>73</v>
      </c>
      <c r="J16" s="72">
        <v>76</v>
      </c>
      <c r="K16" s="72">
        <v>70</v>
      </c>
      <c r="L16" s="73">
        <v>459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5.75" x14ac:dyDescent="0.25">
      <c r="A17" s="63">
        <v>11</v>
      </c>
      <c r="B17" s="53" t="s">
        <v>27</v>
      </c>
      <c r="C17" s="53" t="s">
        <v>28</v>
      </c>
      <c r="D17" s="72">
        <v>1974</v>
      </c>
      <c r="E17" s="53" t="s">
        <v>11</v>
      </c>
      <c r="F17" s="72">
        <v>68</v>
      </c>
      <c r="G17" s="72">
        <v>79</v>
      </c>
      <c r="H17" s="72">
        <v>75</v>
      </c>
      <c r="I17" s="72">
        <v>63</v>
      </c>
      <c r="J17" s="72">
        <v>79</v>
      </c>
      <c r="K17" s="72">
        <v>80</v>
      </c>
      <c r="L17" s="73">
        <v>444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5.75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5.7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5.7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5.7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5.7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15.7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</row>
    <row r="24" spans="1:49" ht="15.7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5.7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5.7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5.75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5.75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5.75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5.75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15.75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15.75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5.75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5.7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5.75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15.75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ht="15.75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</row>
    <row r="38" spans="1:49" ht="15.75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</row>
    <row r="39" spans="1:49" ht="15.75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49" ht="15.75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49" ht="15.75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49" ht="15.75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</row>
    <row r="43" spans="1:49" ht="15.75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15.75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</row>
    <row r="45" spans="1:49" ht="15.75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</row>
    <row r="46" spans="1:49" ht="15.75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</row>
    <row r="47" spans="1:49" ht="15.75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</row>
    <row r="48" spans="1:49" ht="15.75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</row>
    <row r="49" spans="1:49" ht="15.75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</row>
    <row r="50" spans="1:49" ht="15.75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</row>
    <row r="51" spans="1:49" ht="15.75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</row>
    <row r="52" spans="1:49" ht="15.75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</row>
    <row r="53" spans="1:49" ht="15.75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</row>
    <row r="54" spans="1:49" ht="15.75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</row>
    <row r="55" spans="1:49" ht="15.75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</row>
    <row r="56" spans="1:49" ht="15.7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</row>
    <row r="57" spans="1:49" ht="15.7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</row>
    <row r="58" spans="1:49" ht="15.75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</row>
    <row r="59" spans="1:49" ht="15.75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</row>
    <row r="60" spans="1:49" ht="15.75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</row>
    <row r="61" spans="1:49" ht="15.75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</row>
    <row r="62" spans="1:49" ht="15.7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</row>
    <row r="63" spans="1:49" ht="15.7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</row>
    <row r="64" spans="1:49" ht="15.75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</row>
    <row r="65" spans="1:49" ht="15.75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</row>
    <row r="66" spans="1:49" ht="15.75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</row>
    <row r="67" spans="1:49" ht="15.75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</row>
    <row r="68" spans="1:49" ht="15.75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</row>
    <row r="69" spans="1:49" ht="15.75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</row>
    <row r="70" spans="1:49" ht="15.75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</row>
    <row r="71" spans="1:49" ht="15.75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</row>
    <row r="72" spans="1:49" ht="15.7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</row>
    <row r="73" spans="1:49" ht="15.7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</row>
    <row r="74" spans="1:49" ht="15.75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</row>
    <row r="75" spans="1:49" ht="15.75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</row>
    <row r="76" spans="1:49" ht="15.75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</row>
    <row r="77" spans="1:49" ht="15.75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</row>
    <row r="78" spans="1:49" ht="15.75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</row>
    <row r="79" spans="1:49" ht="15.75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</row>
    <row r="80" spans="1:49" ht="15.75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</row>
    <row r="81" spans="1:49" ht="15.75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</row>
    <row r="82" spans="1:49" ht="15.7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</row>
    <row r="83" spans="1:49" ht="15.75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</row>
    <row r="84" spans="1:49" ht="15.75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</row>
    <row r="85" spans="1:49" ht="15.7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</row>
    <row r="86" spans="1:49" ht="15.7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</row>
    <row r="87" spans="1:49" ht="15.7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</row>
    <row r="88" spans="1:49" ht="15.7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</row>
    <row r="89" spans="1:49" ht="15.7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</row>
    <row r="90" spans="1:49" ht="15.75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</row>
    <row r="91" spans="1:49" ht="15.75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</row>
    <row r="92" spans="1:49" ht="15.75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</row>
    <row r="93" spans="1:49" ht="15.7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</row>
    <row r="94" spans="1:49" ht="15.75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</row>
  </sheetData>
  <sortState ref="B7:M17">
    <sortCondition descending="1" ref="L7:L17"/>
  </sortState>
  <mergeCells count="2">
    <mergeCell ref="A1:M1"/>
    <mergeCell ref="F6:K6"/>
  </mergeCells>
  <pageMargins left="0.75" right="0.75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7"/>
  <sheetViews>
    <sheetView tabSelected="1" topLeftCell="A7" workbookViewId="0">
      <selection activeCell="Q36" sqref="Q36"/>
    </sheetView>
  </sheetViews>
  <sheetFormatPr defaultColWidth="9" defaultRowHeight="12.75" x14ac:dyDescent="0.2"/>
  <cols>
    <col min="1" max="1" width="4.625" style="18" customWidth="1"/>
    <col min="2" max="2" width="7.5" style="18" customWidth="1"/>
    <col min="3" max="3" width="11.375" style="18" customWidth="1"/>
    <col min="4" max="4" width="4.625" style="18" customWidth="1"/>
    <col min="5" max="5" width="10.625" style="18" customWidth="1"/>
    <col min="6" max="13" width="3.875" style="18" customWidth="1"/>
    <col min="14" max="14" width="4.375" style="18" customWidth="1"/>
    <col min="15" max="15" width="3.125" style="18" customWidth="1"/>
    <col min="16" max="16384" width="9" style="18"/>
  </cols>
  <sheetData>
    <row r="1" spans="1:49" ht="20.25" x14ac:dyDescent="0.3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</row>
    <row r="2" spans="1:49" ht="15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7" t="s">
        <v>123</v>
      </c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</row>
    <row r="3" spans="1:49" ht="15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</row>
    <row r="4" spans="1:49" ht="15.75" x14ac:dyDescent="0.25">
      <c r="A4" s="38"/>
      <c r="B4" s="37" t="s">
        <v>81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</row>
    <row r="5" spans="1:49" ht="15.75" x14ac:dyDescent="0.25">
      <c r="A5" s="76" t="s">
        <v>2</v>
      </c>
      <c r="B5" s="76" t="s">
        <v>3</v>
      </c>
      <c r="C5" s="76" t="s">
        <v>4</v>
      </c>
      <c r="D5" s="76" t="s">
        <v>5</v>
      </c>
      <c r="E5" s="76" t="s">
        <v>6</v>
      </c>
      <c r="F5" s="110" t="s">
        <v>80</v>
      </c>
      <c r="G5" s="111"/>
      <c r="H5" s="111"/>
      <c r="I5" s="111"/>
      <c r="J5" s="110" t="s">
        <v>79</v>
      </c>
      <c r="K5" s="111"/>
      <c r="L5" s="111"/>
      <c r="M5" s="111"/>
      <c r="N5" s="76" t="s">
        <v>8</v>
      </c>
      <c r="O5" s="77" t="s">
        <v>46</v>
      </c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</row>
    <row r="6" spans="1:49" ht="15.75" x14ac:dyDescent="0.25">
      <c r="A6" s="39" t="s">
        <v>9</v>
      </c>
      <c r="B6" s="37" t="s">
        <v>77</v>
      </c>
      <c r="C6" s="24" t="s">
        <v>76</v>
      </c>
      <c r="D6" s="25">
        <v>1964</v>
      </c>
      <c r="E6" s="26" t="s">
        <v>11</v>
      </c>
      <c r="F6" s="78">
        <v>88</v>
      </c>
      <c r="G6" s="78">
        <v>94</v>
      </c>
      <c r="H6" s="78">
        <v>95</v>
      </c>
      <c r="I6" s="39">
        <f t="shared" ref="I6:I15" si="0">SUM(F6:H6)</f>
        <v>277</v>
      </c>
      <c r="J6" s="78">
        <v>83</v>
      </c>
      <c r="K6" s="78">
        <v>89</v>
      </c>
      <c r="L6" s="78">
        <v>90</v>
      </c>
      <c r="M6" s="39">
        <f t="shared" ref="M6:M15" si="1">SUM(J6:L6)</f>
        <v>262</v>
      </c>
      <c r="N6" s="39">
        <f t="shared" ref="N6:N15" si="2">SUM(I6,M6)</f>
        <v>539</v>
      </c>
      <c r="O6" s="78" t="s">
        <v>12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49" ht="15.75" x14ac:dyDescent="0.25">
      <c r="A7" s="39" t="s">
        <v>12</v>
      </c>
      <c r="B7" s="37" t="s">
        <v>189</v>
      </c>
      <c r="C7" s="24" t="s">
        <v>190</v>
      </c>
      <c r="D7" s="25">
        <v>1973</v>
      </c>
      <c r="E7" s="26" t="s">
        <v>191</v>
      </c>
      <c r="F7" s="78">
        <v>95</v>
      </c>
      <c r="G7" s="78">
        <v>93</v>
      </c>
      <c r="H7" s="78">
        <v>100</v>
      </c>
      <c r="I7" s="39">
        <f t="shared" si="0"/>
        <v>288</v>
      </c>
      <c r="J7" s="78">
        <v>83</v>
      </c>
      <c r="K7" s="78">
        <v>89</v>
      </c>
      <c r="L7" s="78">
        <v>77</v>
      </c>
      <c r="M7" s="39">
        <f t="shared" si="1"/>
        <v>249</v>
      </c>
      <c r="N7" s="39">
        <f t="shared" si="2"/>
        <v>537</v>
      </c>
      <c r="O7" s="78" t="s">
        <v>12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</row>
    <row r="8" spans="1:49" ht="15.75" x14ac:dyDescent="0.25">
      <c r="A8" s="39" t="s">
        <v>16</v>
      </c>
      <c r="B8" s="37" t="s">
        <v>27</v>
      </c>
      <c r="C8" s="24" t="s">
        <v>28</v>
      </c>
      <c r="D8" s="25">
        <v>1974</v>
      </c>
      <c r="E8" s="26" t="s">
        <v>11</v>
      </c>
      <c r="F8" s="78">
        <v>90</v>
      </c>
      <c r="G8" s="78">
        <v>94</v>
      </c>
      <c r="H8" s="78">
        <v>91</v>
      </c>
      <c r="I8" s="39">
        <f t="shared" si="0"/>
        <v>275</v>
      </c>
      <c r="J8" s="78">
        <v>77</v>
      </c>
      <c r="K8" s="78">
        <v>91</v>
      </c>
      <c r="L8" s="78">
        <v>89</v>
      </c>
      <c r="M8" s="39">
        <f t="shared" si="1"/>
        <v>257</v>
      </c>
      <c r="N8" s="39">
        <f t="shared" si="2"/>
        <v>532</v>
      </c>
      <c r="O8" s="78" t="s">
        <v>12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pans="1:49" ht="15.75" x14ac:dyDescent="0.25">
      <c r="A9" s="78" t="s">
        <v>19</v>
      </c>
      <c r="B9" s="38" t="s">
        <v>72</v>
      </c>
      <c r="C9" s="26" t="s">
        <v>71</v>
      </c>
      <c r="D9" s="25">
        <v>1980</v>
      </c>
      <c r="E9" s="26" t="s">
        <v>11</v>
      </c>
      <c r="F9" s="78">
        <v>95</v>
      </c>
      <c r="G9" s="78">
        <v>93</v>
      </c>
      <c r="H9" s="78">
        <v>91</v>
      </c>
      <c r="I9" s="39">
        <f t="shared" si="0"/>
        <v>279</v>
      </c>
      <c r="J9" s="78">
        <v>84</v>
      </c>
      <c r="K9" s="78">
        <v>88</v>
      </c>
      <c r="L9" s="78">
        <v>80</v>
      </c>
      <c r="M9" s="39">
        <f t="shared" si="1"/>
        <v>252</v>
      </c>
      <c r="N9" s="39">
        <f t="shared" si="2"/>
        <v>531</v>
      </c>
      <c r="O9" s="78" t="s">
        <v>12</v>
      </c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49" ht="15.75" x14ac:dyDescent="0.25">
      <c r="A10" s="78" t="s">
        <v>21</v>
      </c>
      <c r="B10" s="38" t="s">
        <v>75</v>
      </c>
      <c r="C10" s="26" t="s">
        <v>74</v>
      </c>
      <c r="D10" s="25">
        <v>1967</v>
      </c>
      <c r="E10" s="26" t="s">
        <v>11</v>
      </c>
      <c r="F10" s="78">
        <v>92</v>
      </c>
      <c r="G10" s="78">
        <v>90</v>
      </c>
      <c r="H10" s="78">
        <v>88</v>
      </c>
      <c r="I10" s="39">
        <f t="shared" si="0"/>
        <v>270</v>
      </c>
      <c r="J10" s="78">
        <v>91</v>
      </c>
      <c r="K10" s="78">
        <v>78</v>
      </c>
      <c r="L10" s="78">
        <v>73</v>
      </c>
      <c r="M10" s="39">
        <f t="shared" si="1"/>
        <v>242</v>
      </c>
      <c r="N10" s="39">
        <f t="shared" si="2"/>
        <v>512</v>
      </c>
      <c r="O10" s="78" t="s">
        <v>16</v>
      </c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spans="1:49" ht="15.75" x14ac:dyDescent="0.25">
      <c r="A11" s="78" t="s">
        <v>22</v>
      </c>
      <c r="B11" s="38" t="s">
        <v>72</v>
      </c>
      <c r="C11" s="26" t="s">
        <v>73</v>
      </c>
      <c r="D11" s="25">
        <v>1965</v>
      </c>
      <c r="E11" s="26" t="s">
        <v>11</v>
      </c>
      <c r="F11" s="78">
        <v>85</v>
      </c>
      <c r="G11" s="78">
        <v>88</v>
      </c>
      <c r="H11" s="78">
        <v>92</v>
      </c>
      <c r="I11" s="39">
        <f t="shared" si="0"/>
        <v>265</v>
      </c>
      <c r="J11" s="78">
        <v>78</v>
      </c>
      <c r="K11" s="78">
        <v>85</v>
      </c>
      <c r="L11" s="78">
        <v>83</v>
      </c>
      <c r="M11" s="39">
        <f t="shared" si="1"/>
        <v>246</v>
      </c>
      <c r="N11" s="39">
        <f t="shared" si="2"/>
        <v>511</v>
      </c>
      <c r="O11" s="78" t="s">
        <v>16</v>
      </c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49" ht="15.75" x14ac:dyDescent="0.25">
      <c r="A12" s="78" t="s">
        <v>24</v>
      </c>
      <c r="B12" s="38" t="s">
        <v>13</v>
      </c>
      <c r="C12" s="26" t="s">
        <v>78</v>
      </c>
      <c r="D12" s="25">
        <v>1966</v>
      </c>
      <c r="E12" s="26" t="s">
        <v>11</v>
      </c>
      <c r="F12" s="78">
        <v>83</v>
      </c>
      <c r="G12" s="78">
        <v>91</v>
      </c>
      <c r="H12" s="78">
        <v>75</v>
      </c>
      <c r="I12" s="39">
        <f t="shared" si="0"/>
        <v>249</v>
      </c>
      <c r="J12" s="78">
        <v>84</v>
      </c>
      <c r="K12" s="78">
        <v>83</v>
      </c>
      <c r="L12" s="78">
        <v>88</v>
      </c>
      <c r="M12" s="39">
        <f t="shared" si="1"/>
        <v>255</v>
      </c>
      <c r="N12" s="39">
        <f t="shared" si="2"/>
        <v>504</v>
      </c>
      <c r="O12" s="7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49" ht="15.75" x14ac:dyDescent="0.25">
      <c r="A13" s="78" t="s">
        <v>26</v>
      </c>
      <c r="B13" s="38" t="s">
        <v>192</v>
      </c>
      <c r="C13" s="26" t="s">
        <v>193</v>
      </c>
      <c r="D13" s="25">
        <v>1967</v>
      </c>
      <c r="E13" s="26" t="s">
        <v>11</v>
      </c>
      <c r="F13" s="78">
        <v>86</v>
      </c>
      <c r="G13" s="78">
        <v>84</v>
      </c>
      <c r="H13" s="78">
        <v>84</v>
      </c>
      <c r="I13" s="39">
        <f t="shared" si="0"/>
        <v>254</v>
      </c>
      <c r="J13" s="78">
        <v>87</v>
      </c>
      <c r="K13" s="78">
        <v>76</v>
      </c>
      <c r="L13" s="78">
        <v>84</v>
      </c>
      <c r="M13" s="39">
        <f t="shared" si="1"/>
        <v>247</v>
      </c>
      <c r="N13" s="39">
        <f t="shared" si="2"/>
        <v>501</v>
      </c>
      <c r="O13" s="7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49" ht="15.75" x14ac:dyDescent="0.25">
      <c r="A14" s="78" t="s">
        <v>29</v>
      </c>
      <c r="B14" s="38" t="s">
        <v>194</v>
      </c>
      <c r="C14" s="26" t="s">
        <v>190</v>
      </c>
      <c r="D14" s="25">
        <v>1979</v>
      </c>
      <c r="E14" s="26" t="s">
        <v>209</v>
      </c>
      <c r="F14" s="78">
        <v>82</v>
      </c>
      <c r="G14" s="78">
        <v>80</v>
      </c>
      <c r="H14" s="78">
        <v>90</v>
      </c>
      <c r="I14" s="39">
        <f t="shared" si="0"/>
        <v>252</v>
      </c>
      <c r="J14" s="78">
        <v>84</v>
      </c>
      <c r="K14" s="78">
        <v>84</v>
      </c>
      <c r="L14" s="78">
        <v>77</v>
      </c>
      <c r="M14" s="39">
        <f t="shared" si="1"/>
        <v>245</v>
      </c>
      <c r="N14" s="39">
        <f t="shared" si="2"/>
        <v>497</v>
      </c>
      <c r="O14" s="7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1:49" ht="15.75" x14ac:dyDescent="0.25">
      <c r="A15" s="78" t="s">
        <v>30</v>
      </c>
      <c r="B15" s="38" t="s">
        <v>195</v>
      </c>
      <c r="C15" s="26" t="s">
        <v>190</v>
      </c>
      <c r="D15" s="25">
        <v>2002</v>
      </c>
      <c r="E15" s="26" t="s">
        <v>209</v>
      </c>
      <c r="F15" s="78">
        <v>72</v>
      </c>
      <c r="G15" s="78">
        <v>68</v>
      </c>
      <c r="H15" s="78">
        <v>67</v>
      </c>
      <c r="I15" s="39">
        <f t="shared" si="0"/>
        <v>207</v>
      </c>
      <c r="J15" s="78">
        <v>69</v>
      </c>
      <c r="K15" s="78">
        <v>86</v>
      </c>
      <c r="L15" s="78">
        <v>72</v>
      </c>
      <c r="M15" s="39">
        <f t="shared" si="1"/>
        <v>227</v>
      </c>
      <c r="N15" s="39">
        <f t="shared" si="2"/>
        <v>434</v>
      </c>
      <c r="O15" s="7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1:49" ht="15.75" x14ac:dyDescent="0.25">
      <c r="A16" s="78"/>
      <c r="F16" s="87"/>
      <c r="G16" s="87"/>
      <c r="H16" s="87"/>
      <c r="I16" s="88"/>
      <c r="J16" s="87"/>
      <c r="K16" s="87"/>
      <c r="L16" s="87"/>
      <c r="M16" s="88"/>
      <c r="N16" s="88"/>
      <c r="O16" s="7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</row>
    <row r="17" spans="1:38" ht="15.75" x14ac:dyDescent="0.25">
      <c r="A17" s="78"/>
      <c r="F17" s="87"/>
      <c r="G17" s="87"/>
      <c r="H17" s="87"/>
      <c r="I17" s="88"/>
      <c r="J17" s="87"/>
      <c r="K17" s="87"/>
      <c r="L17" s="87"/>
      <c r="M17" s="88"/>
      <c r="N17" s="88"/>
      <c r="O17" s="7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</row>
    <row r="18" spans="1:38" ht="15.75" x14ac:dyDescent="0.25">
      <c r="A18" s="38"/>
      <c r="B18" s="37" t="s">
        <v>198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</row>
    <row r="19" spans="1:38" ht="15.75" x14ac:dyDescent="0.25">
      <c r="A19" s="76" t="s">
        <v>2</v>
      </c>
      <c r="B19" s="76" t="s">
        <v>3</v>
      </c>
      <c r="C19" s="76" t="s">
        <v>4</v>
      </c>
      <c r="D19" s="76" t="s">
        <v>5</v>
      </c>
      <c r="E19" s="76" t="s">
        <v>6</v>
      </c>
      <c r="F19" s="110" t="s">
        <v>80</v>
      </c>
      <c r="G19" s="111"/>
      <c r="H19" s="111"/>
      <c r="I19" s="111"/>
      <c r="J19" s="110" t="s">
        <v>79</v>
      </c>
      <c r="K19" s="111"/>
      <c r="L19" s="111"/>
      <c r="M19" s="111"/>
      <c r="N19" s="76" t="s">
        <v>8</v>
      </c>
      <c r="O19" s="77" t="s">
        <v>46</v>
      </c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</row>
    <row r="20" spans="1:38" ht="15.75" x14ac:dyDescent="0.25">
      <c r="A20" s="39" t="s">
        <v>9</v>
      </c>
      <c r="B20" s="37" t="s">
        <v>50</v>
      </c>
      <c r="C20" s="24" t="s">
        <v>49</v>
      </c>
      <c r="D20" s="25">
        <v>1985</v>
      </c>
      <c r="E20" s="26" t="s">
        <v>11</v>
      </c>
      <c r="F20" s="78">
        <v>93</v>
      </c>
      <c r="G20" s="78">
        <v>98</v>
      </c>
      <c r="H20" s="78">
        <v>95</v>
      </c>
      <c r="I20" s="39">
        <f>SUM(F20:H20)</f>
        <v>286</v>
      </c>
      <c r="J20" s="78">
        <v>94</v>
      </c>
      <c r="K20" s="78">
        <v>89</v>
      </c>
      <c r="L20" s="78">
        <v>92</v>
      </c>
      <c r="M20" s="39">
        <f>SUM(J20:L20)</f>
        <v>275</v>
      </c>
      <c r="N20" s="39">
        <f>SUM(I20,M20)</f>
        <v>561</v>
      </c>
      <c r="O20" s="7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</row>
    <row r="21" spans="1:38" ht="15.75" x14ac:dyDescent="0.25">
      <c r="A21" s="39" t="s">
        <v>12</v>
      </c>
      <c r="B21" s="37" t="s">
        <v>70</v>
      </c>
      <c r="C21" s="24" t="s">
        <v>196</v>
      </c>
      <c r="D21" s="25">
        <v>1986</v>
      </c>
      <c r="E21" s="26" t="s">
        <v>11</v>
      </c>
      <c r="F21" s="78">
        <v>85</v>
      </c>
      <c r="G21" s="78">
        <v>85</v>
      </c>
      <c r="H21" s="78">
        <v>74</v>
      </c>
      <c r="I21" s="39">
        <f>SUM(F21:H21)</f>
        <v>244</v>
      </c>
      <c r="J21" s="78">
        <v>74</v>
      </c>
      <c r="K21" s="78">
        <v>52</v>
      </c>
      <c r="L21" s="78">
        <v>75</v>
      </c>
      <c r="M21" s="39">
        <f>SUM(J21:L21)</f>
        <v>201</v>
      </c>
      <c r="N21" s="39">
        <f>SUM(I21,M21)</f>
        <v>445</v>
      </c>
      <c r="O21" s="7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</row>
    <row r="22" spans="1:38" ht="15.75" x14ac:dyDescent="0.25">
      <c r="A22" s="38"/>
      <c r="B22" s="38"/>
      <c r="C22" s="38"/>
      <c r="D22" s="38"/>
      <c r="E22" s="38"/>
      <c r="F22" s="78"/>
      <c r="G22" s="78"/>
      <c r="H22" s="78"/>
      <c r="I22" s="39"/>
      <c r="J22" s="78"/>
      <c r="K22" s="78"/>
      <c r="L22" s="78"/>
      <c r="M22" s="39"/>
      <c r="N22" s="39"/>
      <c r="O22" s="7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</row>
    <row r="23" spans="1:38" ht="15.75" x14ac:dyDescent="0.25">
      <c r="A23" s="38"/>
      <c r="B23" s="38"/>
      <c r="C23" s="38"/>
      <c r="D23" s="38"/>
      <c r="E23" s="38"/>
      <c r="F23" s="78"/>
      <c r="G23" s="78"/>
      <c r="H23" s="78"/>
      <c r="I23" s="39"/>
      <c r="J23" s="78"/>
      <c r="K23" s="78"/>
      <c r="L23" s="78"/>
      <c r="M23" s="39"/>
      <c r="N23" s="39"/>
      <c r="O23" s="7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</row>
    <row r="24" spans="1:38" ht="15.75" x14ac:dyDescent="0.25">
      <c r="A24" s="79"/>
      <c r="B24" s="80" t="s">
        <v>82</v>
      </c>
      <c r="C24" s="79"/>
      <c r="D24" s="79"/>
      <c r="E24" s="79"/>
      <c r="F24" s="78"/>
      <c r="G24" s="78"/>
      <c r="H24" s="78"/>
      <c r="I24" s="39"/>
      <c r="J24" s="78"/>
      <c r="K24" s="78"/>
      <c r="L24" s="78"/>
      <c r="M24" s="39"/>
      <c r="N24" s="39"/>
      <c r="O24" s="7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</row>
    <row r="25" spans="1:38" ht="15.75" x14ac:dyDescent="0.25">
      <c r="A25" s="81" t="s">
        <v>2</v>
      </c>
      <c r="B25" s="81" t="s">
        <v>3</v>
      </c>
      <c r="C25" s="81" t="s">
        <v>4</v>
      </c>
      <c r="D25" s="81" t="s">
        <v>5</v>
      </c>
      <c r="E25" s="81" t="s">
        <v>6</v>
      </c>
      <c r="F25" s="78"/>
      <c r="G25" s="78"/>
      <c r="H25" s="78"/>
      <c r="I25" s="39"/>
      <c r="J25" s="78"/>
      <c r="K25" s="78"/>
      <c r="L25" s="78"/>
      <c r="M25" s="39"/>
      <c r="N25" s="76" t="s">
        <v>8</v>
      </c>
      <c r="O25" s="77" t="s">
        <v>46</v>
      </c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</row>
    <row r="26" spans="1:38" ht="15.75" x14ac:dyDescent="0.25">
      <c r="A26" s="82" t="s">
        <v>9</v>
      </c>
      <c r="B26" s="80" t="s">
        <v>50</v>
      </c>
      <c r="C26" s="83" t="s">
        <v>49</v>
      </c>
      <c r="D26" s="84">
        <v>1985</v>
      </c>
      <c r="E26" s="85" t="s">
        <v>11</v>
      </c>
      <c r="F26" s="78">
        <v>95</v>
      </c>
      <c r="G26" s="78">
        <v>87</v>
      </c>
      <c r="H26" s="78"/>
      <c r="I26" s="39">
        <f t="shared" ref="I26:I37" si="3">SUM(F26:H26)</f>
        <v>182</v>
      </c>
      <c r="J26" s="78">
        <v>93</v>
      </c>
      <c r="K26" s="78">
        <v>83</v>
      </c>
      <c r="L26" s="78"/>
      <c r="M26" s="39">
        <f t="shared" ref="M26:M37" si="4">SUM(J26:L26)</f>
        <v>176</v>
      </c>
      <c r="N26" s="39">
        <f t="shared" ref="N26:N37" si="5">SUM(I26,M26)</f>
        <v>358</v>
      </c>
      <c r="O26" s="78" t="s">
        <v>12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</row>
    <row r="27" spans="1:38" ht="15.75" x14ac:dyDescent="0.25">
      <c r="A27" s="82" t="s">
        <v>12</v>
      </c>
      <c r="B27" s="80" t="s">
        <v>77</v>
      </c>
      <c r="C27" s="83" t="s">
        <v>76</v>
      </c>
      <c r="D27" s="84">
        <v>1964</v>
      </c>
      <c r="E27" s="85" t="s">
        <v>11</v>
      </c>
      <c r="F27" s="78">
        <v>94</v>
      </c>
      <c r="G27" s="78">
        <v>88</v>
      </c>
      <c r="H27" s="78"/>
      <c r="I27" s="39">
        <f t="shared" si="3"/>
        <v>182</v>
      </c>
      <c r="J27" s="78">
        <v>91</v>
      </c>
      <c r="K27" s="78">
        <v>80</v>
      </c>
      <c r="L27" s="78"/>
      <c r="M27" s="39">
        <f t="shared" si="4"/>
        <v>171</v>
      </c>
      <c r="N27" s="39">
        <f t="shared" si="5"/>
        <v>353</v>
      </c>
      <c r="O27" s="78" t="s">
        <v>12</v>
      </c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</row>
    <row r="28" spans="1:38" ht="15.75" x14ac:dyDescent="0.25">
      <c r="A28" s="82" t="s">
        <v>16</v>
      </c>
      <c r="B28" s="80" t="s">
        <v>72</v>
      </c>
      <c r="C28" s="83" t="s">
        <v>71</v>
      </c>
      <c r="D28" s="84">
        <v>1980</v>
      </c>
      <c r="E28" s="85" t="s">
        <v>11</v>
      </c>
      <c r="F28" s="78">
        <v>91</v>
      </c>
      <c r="G28" s="78">
        <v>79</v>
      </c>
      <c r="H28" s="78"/>
      <c r="I28" s="39">
        <f t="shared" si="3"/>
        <v>170</v>
      </c>
      <c r="J28" s="78">
        <v>90</v>
      </c>
      <c r="K28" s="78">
        <v>91</v>
      </c>
      <c r="L28" s="78"/>
      <c r="M28" s="39">
        <f t="shared" si="4"/>
        <v>181</v>
      </c>
      <c r="N28" s="39">
        <f t="shared" si="5"/>
        <v>351</v>
      </c>
      <c r="O28" s="78" t="s">
        <v>12</v>
      </c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</row>
    <row r="29" spans="1:38" ht="15.75" x14ac:dyDescent="0.25">
      <c r="A29" s="86" t="s">
        <v>19</v>
      </c>
      <c r="B29" s="79" t="s">
        <v>13</v>
      </c>
      <c r="C29" s="85" t="s">
        <v>78</v>
      </c>
      <c r="D29" s="84">
        <v>1966</v>
      </c>
      <c r="E29" s="85" t="s">
        <v>11</v>
      </c>
      <c r="F29" s="78">
        <v>84</v>
      </c>
      <c r="G29" s="78">
        <v>86</v>
      </c>
      <c r="H29" s="78"/>
      <c r="I29" s="39">
        <f t="shared" si="3"/>
        <v>170</v>
      </c>
      <c r="J29" s="78">
        <v>87</v>
      </c>
      <c r="K29" s="78">
        <v>90</v>
      </c>
      <c r="L29" s="78"/>
      <c r="M29" s="39">
        <f t="shared" si="4"/>
        <v>177</v>
      </c>
      <c r="N29" s="39">
        <f t="shared" si="5"/>
        <v>347</v>
      </c>
      <c r="O29" s="78" t="s">
        <v>12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</row>
    <row r="30" spans="1:38" ht="15.75" x14ac:dyDescent="0.25">
      <c r="A30" s="86" t="s">
        <v>21</v>
      </c>
      <c r="B30" s="79" t="s">
        <v>72</v>
      </c>
      <c r="C30" s="85" t="s">
        <v>73</v>
      </c>
      <c r="D30" s="84">
        <v>1965</v>
      </c>
      <c r="E30" s="85" t="s">
        <v>11</v>
      </c>
      <c r="F30" s="78">
        <v>85</v>
      </c>
      <c r="G30" s="78">
        <v>83</v>
      </c>
      <c r="H30" s="78"/>
      <c r="I30" s="39">
        <f t="shared" si="3"/>
        <v>168</v>
      </c>
      <c r="J30" s="78">
        <v>91</v>
      </c>
      <c r="K30" s="78">
        <v>87</v>
      </c>
      <c r="L30" s="78"/>
      <c r="M30" s="39">
        <f t="shared" si="4"/>
        <v>178</v>
      </c>
      <c r="N30" s="39">
        <f t="shared" si="5"/>
        <v>346</v>
      </c>
      <c r="O30" s="78" t="s">
        <v>12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</row>
    <row r="31" spans="1:38" ht="15.75" x14ac:dyDescent="0.25">
      <c r="A31" s="86" t="s">
        <v>22</v>
      </c>
      <c r="B31" s="38" t="s">
        <v>189</v>
      </c>
      <c r="C31" s="26" t="s">
        <v>190</v>
      </c>
      <c r="D31" s="25">
        <v>1973</v>
      </c>
      <c r="E31" s="26" t="s">
        <v>197</v>
      </c>
      <c r="F31" s="78">
        <v>90</v>
      </c>
      <c r="G31" s="78">
        <v>85</v>
      </c>
      <c r="H31" s="78"/>
      <c r="I31" s="39">
        <f t="shared" si="3"/>
        <v>175</v>
      </c>
      <c r="J31" s="78">
        <v>90</v>
      </c>
      <c r="K31" s="78">
        <v>80</v>
      </c>
      <c r="L31" s="78"/>
      <c r="M31" s="39">
        <f t="shared" si="4"/>
        <v>170</v>
      </c>
      <c r="N31" s="39">
        <f t="shared" si="5"/>
        <v>345</v>
      </c>
      <c r="O31" s="78" t="s">
        <v>12</v>
      </c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</row>
    <row r="32" spans="1:38" ht="15.75" x14ac:dyDescent="0.25">
      <c r="A32" s="86" t="s">
        <v>24</v>
      </c>
      <c r="B32" s="79" t="s">
        <v>27</v>
      </c>
      <c r="C32" s="85" t="s">
        <v>28</v>
      </c>
      <c r="D32" s="84">
        <v>1974</v>
      </c>
      <c r="E32" s="85" t="s">
        <v>11</v>
      </c>
      <c r="F32" s="78">
        <v>87</v>
      </c>
      <c r="G32" s="78">
        <v>90</v>
      </c>
      <c r="H32" s="78"/>
      <c r="I32" s="39">
        <f t="shared" si="3"/>
        <v>177</v>
      </c>
      <c r="J32" s="78">
        <v>82</v>
      </c>
      <c r="K32" s="78">
        <v>80</v>
      </c>
      <c r="L32" s="78"/>
      <c r="M32" s="39">
        <f t="shared" si="4"/>
        <v>162</v>
      </c>
      <c r="N32" s="39">
        <f t="shared" si="5"/>
        <v>339</v>
      </c>
      <c r="O32" s="7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</row>
    <row r="33" spans="1:49" ht="15.75" x14ac:dyDescent="0.25">
      <c r="A33" s="86" t="s">
        <v>26</v>
      </c>
      <c r="B33" s="79" t="s">
        <v>75</v>
      </c>
      <c r="C33" s="85" t="s">
        <v>74</v>
      </c>
      <c r="D33" s="84">
        <v>1967</v>
      </c>
      <c r="E33" s="85" t="s">
        <v>11</v>
      </c>
      <c r="F33" s="78">
        <v>79</v>
      </c>
      <c r="G33" s="78">
        <v>83</v>
      </c>
      <c r="H33" s="78"/>
      <c r="I33" s="39">
        <f t="shared" si="3"/>
        <v>162</v>
      </c>
      <c r="J33" s="78">
        <v>81</v>
      </c>
      <c r="K33" s="78">
        <v>71</v>
      </c>
      <c r="L33" s="78"/>
      <c r="M33" s="39">
        <f t="shared" si="4"/>
        <v>152</v>
      </c>
      <c r="N33" s="39">
        <f t="shared" si="5"/>
        <v>314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</row>
    <row r="34" spans="1:49" ht="15.75" x14ac:dyDescent="0.25">
      <c r="A34" s="86" t="s">
        <v>29</v>
      </c>
      <c r="B34" s="79" t="s">
        <v>194</v>
      </c>
      <c r="C34" s="85" t="s">
        <v>190</v>
      </c>
      <c r="D34" s="84">
        <v>1979</v>
      </c>
      <c r="E34" s="85" t="s">
        <v>209</v>
      </c>
      <c r="F34" s="78">
        <v>79</v>
      </c>
      <c r="G34" s="78">
        <v>78</v>
      </c>
      <c r="H34" s="78"/>
      <c r="I34" s="39">
        <f t="shared" si="3"/>
        <v>157</v>
      </c>
      <c r="J34" s="78">
        <v>67</v>
      </c>
      <c r="K34" s="78">
        <v>85</v>
      </c>
      <c r="L34" s="78"/>
      <c r="M34" s="39">
        <f t="shared" si="4"/>
        <v>152</v>
      </c>
      <c r="N34" s="39">
        <f t="shared" si="5"/>
        <v>309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</row>
    <row r="35" spans="1:49" ht="15.75" x14ac:dyDescent="0.25">
      <c r="A35" s="86" t="s">
        <v>30</v>
      </c>
      <c r="B35" s="79" t="s">
        <v>192</v>
      </c>
      <c r="C35" s="85" t="s">
        <v>193</v>
      </c>
      <c r="D35" s="84">
        <v>1967</v>
      </c>
      <c r="E35" s="85" t="s">
        <v>11</v>
      </c>
      <c r="F35" s="78">
        <v>77</v>
      </c>
      <c r="G35" s="78">
        <v>78</v>
      </c>
      <c r="H35" s="78"/>
      <c r="I35" s="39">
        <f t="shared" si="3"/>
        <v>155</v>
      </c>
      <c r="J35" s="78">
        <v>74</v>
      </c>
      <c r="K35" s="78">
        <v>80</v>
      </c>
      <c r="L35" s="78"/>
      <c r="M35" s="39">
        <f t="shared" si="4"/>
        <v>154</v>
      </c>
      <c r="N35" s="39">
        <f t="shared" si="5"/>
        <v>309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</row>
    <row r="36" spans="1:49" ht="15.75" x14ac:dyDescent="0.25">
      <c r="A36" s="86" t="s">
        <v>31</v>
      </c>
      <c r="B36" s="38" t="s">
        <v>70</v>
      </c>
      <c r="C36" s="26" t="s">
        <v>196</v>
      </c>
      <c r="D36" s="25">
        <v>1986</v>
      </c>
      <c r="E36" s="26" t="s">
        <v>11</v>
      </c>
      <c r="F36" s="78">
        <v>73</v>
      </c>
      <c r="G36" s="78">
        <v>73</v>
      </c>
      <c r="H36" s="78"/>
      <c r="I36" s="39">
        <f t="shared" si="3"/>
        <v>146</v>
      </c>
      <c r="J36" s="78">
        <v>78</v>
      </c>
      <c r="K36" s="78">
        <v>79</v>
      </c>
      <c r="L36" s="78"/>
      <c r="M36" s="39">
        <f t="shared" si="4"/>
        <v>157</v>
      </c>
      <c r="N36" s="39">
        <f t="shared" si="5"/>
        <v>303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</row>
    <row r="37" spans="1:49" ht="15.75" x14ac:dyDescent="0.25">
      <c r="A37" s="86" t="s">
        <v>32</v>
      </c>
      <c r="B37" s="38" t="s">
        <v>195</v>
      </c>
      <c r="C37" s="26" t="s">
        <v>190</v>
      </c>
      <c r="D37" s="25">
        <v>2002</v>
      </c>
      <c r="E37" s="85" t="s">
        <v>209</v>
      </c>
      <c r="F37" s="78">
        <v>81</v>
      </c>
      <c r="G37" s="78">
        <v>81</v>
      </c>
      <c r="H37" s="78"/>
      <c r="I37" s="39">
        <f t="shared" si="3"/>
        <v>162</v>
      </c>
      <c r="J37" s="78">
        <v>64</v>
      </c>
      <c r="K37" s="78">
        <v>62</v>
      </c>
      <c r="L37" s="78"/>
      <c r="M37" s="39">
        <f t="shared" si="4"/>
        <v>126</v>
      </c>
      <c r="N37" s="39">
        <f t="shared" si="5"/>
        <v>288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</row>
    <row r="38" spans="1:49" ht="15.75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</row>
    <row r="39" spans="1:49" ht="15.75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</row>
    <row r="40" spans="1:49" ht="15.75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</row>
    <row r="41" spans="1:49" ht="15.75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</row>
    <row r="42" spans="1:49" ht="15.75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</row>
    <row r="43" spans="1:49" ht="15.75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</row>
    <row r="44" spans="1:49" ht="15.75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</row>
    <row r="45" spans="1:49" ht="15.75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</row>
    <row r="46" spans="1:49" ht="15.75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1:49" ht="15.75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</row>
    <row r="48" spans="1:49" ht="15.75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</row>
    <row r="49" spans="1:49" ht="15.75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</row>
    <row r="50" spans="1:49" ht="15.75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</row>
    <row r="51" spans="1:49" ht="15.75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</row>
    <row r="52" spans="1:49" ht="15.75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</row>
    <row r="53" spans="1:49" ht="15.75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1:49" ht="15.75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</row>
    <row r="55" spans="1:49" ht="15.75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</row>
    <row r="56" spans="1:49" ht="15.75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</row>
    <row r="57" spans="1:49" ht="15.75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</row>
    <row r="58" spans="1:49" ht="15.75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</row>
    <row r="59" spans="1:49" ht="15.75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</row>
    <row r="60" spans="1:49" ht="15.75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</row>
    <row r="61" spans="1:49" ht="15.75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</row>
    <row r="62" spans="1:49" ht="15.75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</row>
    <row r="63" spans="1:49" ht="15.75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</row>
    <row r="64" spans="1:49" ht="15.75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</row>
    <row r="65" spans="1:49" ht="15.75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</row>
    <row r="66" spans="1:49" ht="15.75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</row>
    <row r="67" spans="1:49" ht="15.75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</row>
    <row r="68" spans="1:49" ht="15.75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</row>
    <row r="69" spans="1:49" ht="15.75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</row>
    <row r="70" spans="1:49" ht="15.75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</row>
    <row r="71" spans="1:49" ht="15.75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</row>
    <row r="72" spans="1:49" ht="15.75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</row>
    <row r="73" spans="1:49" ht="15.75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</row>
    <row r="74" spans="1:49" ht="15.75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</row>
    <row r="75" spans="1:49" ht="15.75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</row>
    <row r="76" spans="1:49" ht="15.75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</row>
    <row r="77" spans="1:49" ht="15.75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</row>
    <row r="78" spans="1:49" ht="15.75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</row>
    <row r="79" spans="1:49" ht="15.75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</row>
    <row r="80" spans="1:49" ht="15.75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</row>
    <row r="81" spans="1:49" ht="15.75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</row>
    <row r="82" spans="1:49" ht="15.75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</row>
    <row r="83" spans="1:49" ht="15.75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</row>
    <row r="84" spans="1:49" ht="15.75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</row>
    <row r="85" spans="1:49" ht="15.75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</row>
    <row r="86" spans="1:49" ht="15.75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</row>
    <row r="87" spans="1:49" ht="15.75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</row>
    <row r="88" spans="1:49" ht="15.75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</row>
    <row r="89" spans="1:49" ht="15.75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</row>
    <row r="90" spans="1:49" ht="15.75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</row>
    <row r="91" spans="1:49" ht="15.75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</row>
    <row r="92" spans="1:49" ht="15.75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</row>
    <row r="93" spans="1:49" ht="15.75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</row>
    <row r="94" spans="1:49" ht="15.75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</row>
    <row r="95" spans="1:49" ht="15.75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</row>
    <row r="96" spans="1:49" ht="15.75" x14ac:dyDescent="0.25">
      <c r="A96" s="38"/>
      <c r="B96" s="38"/>
      <c r="C96" s="38"/>
      <c r="D96" s="38"/>
      <c r="E96" s="38"/>
      <c r="F96" s="38"/>
      <c r="G96" s="38"/>
      <c r="H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</row>
    <row r="97" spans="1:49" ht="15.75" x14ac:dyDescent="0.25">
      <c r="A97" s="38"/>
      <c r="B97" s="38"/>
      <c r="C97" s="38"/>
      <c r="D97" s="38"/>
      <c r="E97" s="38"/>
      <c r="F97" s="38"/>
      <c r="G97" s="38"/>
      <c r="H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</row>
  </sheetData>
  <mergeCells count="5">
    <mergeCell ref="A1:O1"/>
    <mergeCell ref="F5:I5"/>
    <mergeCell ref="J5:M5"/>
    <mergeCell ref="F19:I19"/>
    <mergeCell ref="J19:M19"/>
  </mergeCells>
  <pageMargins left="0.75" right="0.75" top="1" bottom="1" header="0.5" footer="0.5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F17" sqref="F17"/>
    </sheetView>
  </sheetViews>
  <sheetFormatPr defaultColWidth="8.875" defaultRowHeight="12.75" x14ac:dyDescent="0.2"/>
  <sheetData>
    <row r="1" spans="1:15" ht="20.25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.75" x14ac:dyDescent="0.25">
      <c r="A2" s="19"/>
      <c r="B2" s="19"/>
      <c r="C2" s="19"/>
      <c r="D2" s="19"/>
      <c r="E2" s="19"/>
      <c r="G2" s="19"/>
      <c r="H2" s="19"/>
      <c r="I2" s="19"/>
      <c r="J2" s="19"/>
      <c r="K2" s="19"/>
      <c r="L2" s="19"/>
      <c r="N2" s="19"/>
      <c r="O2" s="19"/>
    </row>
    <row r="3" spans="1:15" ht="15.75" x14ac:dyDescent="0.25">
      <c r="D3" s="2" t="s">
        <v>110</v>
      </c>
    </row>
    <row r="4" spans="1:15" ht="15.75" x14ac:dyDescent="0.25">
      <c r="A4" s="14"/>
      <c r="B4" s="14"/>
      <c r="C4" s="14"/>
      <c r="D4" s="14"/>
      <c r="E4" s="14"/>
      <c r="F4" s="14"/>
    </row>
    <row r="5" spans="1:15" ht="15.75" x14ac:dyDescent="0.25">
      <c r="A5" s="29" t="s">
        <v>124</v>
      </c>
      <c r="B5" s="14"/>
      <c r="C5" s="14"/>
      <c r="D5" s="14"/>
      <c r="E5" s="14"/>
      <c r="F5" s="14"/>
    </row>
    <row r="6" spans="1:15" ht="15.75" x14ac:dyDescent="0.25">
      <c r="A6" s="14"/>
      <c r="B6" s="14" t="s">
        <v>87</v>
      </c>
      <c r="C6" s="14"/>
      <c r="D6" s="14"/>
      <c r="E6" s="14"/>
      <c r="F6" s="14"/>
    </row>
    <row r="7" spans="1:15" ht="15.75" x14ac:dyDescent="0.25">
      <c r="A7" s="34"/>
      <c r="B7" s="29" t="s">
        <v>127</v>
      </c>
      <c r="C7" s="34"/>
      <c r="D7" s="34"/>
      <c r="E7" s="34"/>
      <c r="F7" s="34"/>
    </row>
    <row r="8" spans="1:15" ht="15.75" x14ac:dyDescent="0.25">
      <c r="A8" s="14"/>
      <c r="B8" s="14"/>
      <c r="C8" s="14"/>
      <c r="D8" s="14"/>
      <c r="E8" s="14"/>
      <c r="F8" s="14"/>
    </row>
    <row r="9" spans="1:15" ht="15.75" x14ac:dyDescent="0.25">
      <c r="A9" s="14" t="s">
        <v>85</v>
      </c>
      <c r="B9" s="14"/>
      <c r="C9" s="14"/>
      <c r="D9" s="14"/>
      <c r="E9" s="14"/>
      <c r="F9" s="14"/>
    </row>
    <row r="10" spans="1:15" ht="15.75" x14ac:dyDescent="0.25">
      <c r="A10" s="14" t="s">
        <v>83</v>
      </c>
      <c r="B10" s="14"/>
      <c r="C10" s="14"/>
      <c r="D10" s="45" t="s">
        <v>125</v>
      </c>
      <c r="E10" s="14"/>
      <c r="F10" s="14"/>
    </row>
    <row r="11" spans="1:15" ht="15.75" x14ac:dyDescent="0.25">
      <c r="A11" s="14"/>
      <c r="B11" s="14"/>
      <c r="C11" s="14"/>
      <c r="D11" s="14" t="s">
        <v>84</v>
      </c>
      <c r="E11" s="14"/>
      <c r="F11" s="14"/>
    </row>
    <row r="12" spans="1:15" ht="15.75" x14ac:dyDescent="0.25">
      <c r="A12" s="14"/>
      <c r="B12" s="14"/>
      <c r="C12" s="14"/>
      <c r="D12" s="14"/>
      <c r="E12" s="14"/>
      <c r="F12" s="14"/>
    </row>
    <row r="13" spans="1:15" ht="15.75" x14ac:dyDescent="0.25">
      <c r="A13" s="14" t="s">
        <v>86</v>
      </c>
      <c r="B13" s="14"/>
      <c r="C13" s="14" t="s">
        <v>87</v>
      </c>
      <c r="D13" s="14"/>
      <c r="E13" s="14"/>
      <c r="F13" s="14"/>
    </row>
    <row r="14" spans="1:15" ht="15.75" x14ac:dyDescent="0.25">
      <c r="A14" s="14"/>
      <c r="B14" s="14"/>
      <c r="C14" s="14"/>
      <c r="D14" s="14"/>
      <c r="E14" s="14"/>
      <c r="F14" s="14"/>
    </row>
    <row r="15" spans="1:15" ht="15.75" x14ac:dyDescent="0.25">
      <c r="A15" s="14" t="s">
        <v>88</v>
      </c>
      <c r="B15" s="14"/>
      <c r="C15" s="14"/>
      <c r="D15" s="14"/>
      <c r="E15" s="14"/>
      <c r="F15" s="14"/>
    </row>
    <row r="16" spans="1:15" ht="15.75" x14ac:dyDescent="0.25">
      <c r="A16" s="29" t="s">
        <v>126</v>
      </c>
      <c r="B16" s="14"/>
      <c r="C16" s="14"/>
      <c r="D16" s="14"/>
      <c r="E16" s="14"/>
      <c r="F16" s="14"/>
    </row>
    <row r="17" spans="1:6" ht="15.75" x14ac:dyDescent="0.25">
      <c r="A17" s="14"/>
      <c r="B17" s="14"/>
      <c r="C17" s="29" t="s">
        <v>125</v>
      </c>
      <c r="D17" s="14"/>
      <c r="E17" s="14"/>
      <c r="F17" s="14"/>
    </row>
    <row r="18" spans="1:6" ht="15.75" x14ac:dyDescent="0.25">
      <c r="A18" s="34"/>
      <c r="B18" s="34"/>
      <c r="C18" s="29" t="s">
        <v>170</v>
      </c>
      <c r="D18" s="34"/>
      <c r="E18" s="34"/>
      <c r="F18" s="34"/>
    </row>
    <row r="19" spans="1:6" ht="15.75" x14ac:dyDescent="0.25">
      <c r="A19" s="14"/>
      <c r="B19" s="14"/>
      <c r="C19" s="14"/>
      <c r="D19" s="14"/>
      <c r="E19" s="14"/>
      <c r="F19" s="14"/>
    </row>
    <row r="20" spans="1:6" ht="15.75" x14ac:dyDescent="0.25">
      <c r="A20" s="14" t="s">
        <v>89</v>
      </c>
      <c r="B20" s="14"/>
      <c r="C20" s="14"/>
      <c r="D20" s="14"/>
      <c r="E20" s="14"/>
      <c r="F20" s="14"/>
    </row>
    <row r="21" spans="1:6" ht="15.75" x14ac:dyDescent="0.25">
      <c r="A21" s="14"/>
      <c r="B21" s="14" t="s">
        <v>90</v>
      </c>
      <c r="C21" s="14"/>
      <c r="D21" s="14"/>
      <c r="E21" s="14"/>
      <c r="F21" s="14"/>
    </row>
    <row r="22" spans="1:6" ht="15.75" x14ac:dyDescent="0.25">
      <c r="A22" s="14"/>
      <c r="B22" s="14" t="s">
        <v>91</v>
      </c>
      <c r="C22" s="14"/>
      <c r="D22" s="14"/>
      <c r="E22" s="14"/>
      <c r="F22" s="14"/>
    </row>
    <row r="23" spans="1:6" ht="15.75" x14ac:dyDescent="0.25">
      <c r="A23" s="14"/>
      <c r="B23" s="14"/>
      <c r="C23" s="14"/>
      <c r="D23" s="14"/>
      <c r="E23" s="14"/>
      <c r="F23" s="14"/>
    </row>
    <row r="24" spans="1:6" ht="15.75" x14ac:dyDescent="0.25">
      <c r="A24" s="29" t="s">
        <v>171</v>
      </c>
      <c r="B24" s="14"/>
      <c r="C24" s="14"/>
      <c r="D24" s="14"/>
      <c r="E24" s="14"/>
      <c r="F24" s="14"/>
    </row>
    <row r="25" spans="1:6" ht="15.75" x14ac:dyDescent="0.25">
      <c r="A25" s="14"/>
      <c r="B25" s="14"/>
      <c r="C25" s="14"/>
      <c r="D25" s="14"/>
      <c r="E25" s="14"/>
      <c r="F25" s="14"/>
    </row>
    <row r="26" spans="1:6" ht="15.75" x14ac:dyDescent="0.25">
      <c r="A26" s="14"/>
      <c r="B26" s="14"/>
      <c r="C26" s="14"/>
      <c r="D26" s="14"/>
      <c r="E26" s="14"/>
      <c r="F26" s="14"/>
    </row>
    <row r="27" spans="1:6" ht="15.75" x14ac:dyDescent="0.25">
      <c r="A27" s="14"/>
      <c r="B27" s="14"/>
      <c r="C27" s="14"/>
      <c r="D27" s="14"/>
      <c r="E27" s="14"/>
      <c r="F27" s="14"/>
    </row>
    <row r="28" spans="1:6" ht="15.75" x14ac:dyDescent="0.25">
      <c r="A28" s="14"/>
      <c r="B28" s="14"/>
      <c r="C28" s="14"/>
      <c r="D28" s="14"/>
      <c r="E28" s="14"/>
      <c r="F28" s="14"/>
    </row>
    <row r="29" spans="1:6" ht="15.75" x14ac:dyDescent="0.25">
      <c r="A29" s="14"/>
      <c r="B29" s="14"/>
      <c r="C29" s="14"/>
      <c r="D29" s="14"/>
      <c r="E29" s="14"/>
      <c r="F29" s="14"/>
    </row>
    <row r="30" spans="1:6" ht="15.75" x14ac:dyDescent="0.25">
      <c r="A30" s="14"/>
      <c r="B30" s="14"/>
      <c r="C30" s="14"/>
      <c r="D30" s="14"/>
      <c r="E30" s="14"/>
      <c r="F30" s="14"/>
    </row>
    <row r="31" spans="1:6" ht="15.75" x14ac:dyDescent="0.25">
      <c r="A31" s="14"/>
      <c r="B31" s="14"/>
      <c r="C31" s="14"/>
      <c r="D31" s="14"/>
      <c r="E31" s="14"/>
      <c r="F31" s="14"/>
    </row>
    <row r="32" spans="1:6" ht="15.75" x14ac:dyDescent="0.25">
      <c r="A32" s="14"/>
      <c r="B32" s="14"/>
      <c r="C32" s="14"/>
      <c r="D32" s="14"/>
      <c r="E32" s="14"/>
      <c r="F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60 lam.M, N, P, T</vt:lpstr>
      <vt:lpstr>3x40 M, N</vt:lpstr>
      <vt:lpstr>30+30 TK, SP N, M</vt:lpstr>
      <vt:lpstr>Vabapüstol</vt:lpstr>
      <vt:lpstr>Metssiga 30+30; 20+20mix</vt:lpstr>
      <vt:lpstr>žürii</vt:lpstr>
      <vt:lpstr>'60 lam.M, N, P, 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Liivi</dc:creator>
  <cp:lastModifiedBy>Karin Muru</cp:lastModifiedBy>
  <cp:lastPrinted>2020-08-02T10:48:04Z</cp:lastPrinted>
  <dcterms:created xsi:type="dcterms:W3CDTF">2018-08-25T13:13:32Z</dcterms:created>
  <dcterms:modified xsi:type="dcterms:W3CDTF">2020-08-02T11:20:59Z</dcterms:modified>
</cp:coreProperties>
</file>